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на 31.05.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47" i="1" l="1"/>
  <c r="M247" i="1"/>
  <c r="L247" i="1"/>
  <c r="O247" i="1" s="1"/>
  <c r="E247" i="1"/>
  <c r="N246" i="1"/>
  <c r="M246" i="1"/>
  <c r="L246" i="1"/>
  <c r="E246" i="1"/>
  <c r="M245" i="1"/>
  <c r="L245" i="1"/>
  <c r="I245" i="1"/>
  <c r="N245" i="1" s="1"/>
  <c r="E245" i="1"/>
  <c r="M244" i="1"/>
  <c r="L244" i="1"/>
  <c r="I244" i="1"/>
  <c r="N244" i="1" s="1"/>
  <c r="E244" i="1"/>
  <c r="N243" i="1"/>
  <c r="M243" i="1"/>
  <c r="L243" i="1"/>
  <c r="O243" i="1" s="1"/>
  <c r="E243" i="1"/>
  <c r="N242" i="1"/>
  <c r="M242" i="1"/>
  <c r="L242" i="1"/>
  <c r="E242" i="1"/>
  <c r="N241" i="1"/>
  <c r="M241" i="1"/>
  <c r="L241" i="1"/>
  <c r="O241" i="1" s="1"/>
  <c r="E241" i="1"/>
  <c r="N240" i="1"/>
  <c r="M240" i="1"/>
  <c r="L240" i="1"/>
  <c r="O240" i="1" s="1"/>
  <c r="E240" i="1"/>
  <c r="N239" i="1"/>
  <c r="M239" i="1"/>
  <c r="L239" i="1"/>
  <c r="N238" i="1"/>
  <c r="M238" i="1"/>
  <c r="L238" i="1"/>
  <c r="E238" i="1"/>
  <c r="N237" i="1"/>
  <c r="M237" i="1"/>
  <c r="L237" i="1"/>
  <c r="E237" i="1"/>
  <c r="N236" i="1"/>
  <c r="M236" i="1"/>
  <c r="L236" i="1"/>
  <c r="N235" i="1"/>
  <c r="M235" i="1"/>
  <c r="L235" i="1"/>
  <c r="E235" i="1"/>
  <c r="N234" i="1"/>
  <c r="M234" i="1"/>
  <c r="L234" i="1"/>
  <c r="E234" i="1"/>
  <c r="N233" i="1"/>
  <c r="M233" i="1"/>
  <c r="L233" i="1"/>
  <c r="E233" i="1"/>
  <c r="N232" i="1"/>
  <c r="M232" i="1"/>
  <c r="L232" i="1"/>
  <c r="K232" i="1"/>
  <c r="E232" i="1"/>
  <c r="M231" i="1"/>
  <c r="I231" i="1"/>
  <c r="N231" i="1" s="1"/>
  <c r="G231" i="1"/>
  <c r="L231" i="1" s="1"/>
  <c r="E231" i="1"/>
  <c r="N230" i="1"/>
  <c r="M230" i="1"/>
  <c r="L230" i="1"/>
  <c r="E230" i="1"/>
  <c r="N229" i="1"/>
  <c r="M229" i="1"/>
  <c r="L229" i="1"/>
  <c r="E229" i="1"/>
  <c r="N228" i="1"/>
  <c r="M228" i="1"/>
  <c r="L228" i="1"/>
  <c r="E228" i="1"/>
  <c r="I227" i="1"/>
  <c r="N227" i="1" s="1"/>
  <c r="H227" i="1"/>
  <c r="M227" i="1" s="1"/>
  <c r="G227" i="1"/>
  <c r="L227" i="1" s="1"/>
  <c r="E227" i="1"/>
  <c r="M226" i="1"/>
  <c r="L226" i="1"/>
  <c r="E226" i="1"/>
  <c r="M225" i="1"/>
  <c r="L225" i="1"/>
  <c r="E225" i="1"/>
  <c r="N224" i="1"/>
  <c r="M224" i="1"/>
  <c r="L224" i="1"/>
  <c r="E224" i="1"/>
  <c r="N223" i="1"/>
  <c r="M223" i="1"/>
  <c r="L223" i="1"/>
  <c r="E223" i="1"/>
  <c r="N222" i="1"/>
  <c r="M222" i="1"/>
  <c r="G222" i="1"/>
  <c r="L222" i="1" s="1"/>
  <c r="E222" i="1"/>
  <c r="N221" i="1"/>
  <c r="M221" i="1"/>
  <c r="L221" i="1"/>
  <c r="E221" i="1"/>
  <c r="N220" i="1"/>
  <c r="M220" i="1"/>
  <c r="L220" i="1"/>
  <c r="E220" i="1"/>
  <c r="N219" i="1"/>
  <c r="M219" i="1"/>
  <c r="L219" i="1"/>
  <c r="E219" i="1"/>
  <c r="I218" i="1"/>
  <c r="G218" i="1"/>
  <c r="E218" i="1"/>
  <c r="F218" i="1" s="1"/>
  <c r="N217" i="1"/>
  <c r="M217" i="1"/>
  <c r="L217" i="1"/>
  <c r="E217" i="1"/>
  <c r="N216" i="1"/>
  <c r="M216" i="1"/>
  <c r="L216" i="1"/>
  <c r="E216" i="1"/>
  <c r="N215" i="1"/>
  <c r="M215" i="1"/>
  <c r="L215" i="1"/>
  <c r="E215" i="1"/>
  <c r="N214" i="1"/>
  <c r="M214" i="1"/>
  <c r="L214" i="1"/>
  <c r="E214" i="1"/>
  <c r="M213" i="1"/>
  <c r="L213" i="1"/>
  <c r="I213" i="1"/>
  <c r="N213" i="1" s="1"/>
  <c r="O213" i="1" s="1"/>
  <c r="E213" i="1"/>
  <c r="N212" i="1"/>
  <c r="M212" i="1"/>
  <c r="L212" i="1"/>
  <c r="E212" i="1"/>
  <c r="N211" i="1"/>
  <c r="M211" i="1"/>
  <c r="L211" i="1"/>
  <c r="E211" i="1"/>
  <c r="N210" i="1"/>
  <c r="M210" i="1"/>
  <c r="L210" i="1"/>
  <c r="E210" i="1"/>
  <c r="N209" i="1"/>
  <c r="L209" i="1"/>
  <c r="H209" i="1"/>
  <c r="M209" i="1" s="1"/>
  <c r="E209" i="1"/>
  <c r="N208" i="1"/>
  <c r="M208" i="1"/>
  <c r="G208" i="1"/>
  <c r="L208" i="1" s="1"/>
  <c r="E208" i="1"/>
  <c r="N207" i="1"/>
  <c r="M207" i="1"/>
  <c r="G207" i="1"/>
  <c r="L207" i="1" s="1"/>
  <c r="O207" i="1" s="1"/>
  <c r="E207" i="1"/>
  <c r="N206" i="1"/>
  <c r="M206" i="1"/>
  <c r="L206" i="1"/>
  <c r="K206" i="1"/>
  <c r="E206" i="1"/>
  <c r="N205" i="1"/>
  <c r="M205" i="1"/>
  <c r="L205" i="1"/>
  <c r="E205" i="1"/>
  <c r="N204" i="1"/>
  <c r="M204" i="1"/>
  <c r="L204" i="1"/>
  <c r="E204" i="1"/>
  <c r="N203" i="1"/>
  <c r="L203" i="1"/>
  <c r="H203" i="1"/>
  <c r="M203" i="1" s="1"/>
  <c r="E203" i="1"/>
  <c r="N202" i="1"/>
  <c r="M202" i="1"/>
  <c r="L202" i="1"/>
  <c r="E202" i="1"/>
  <c r="N201" i="1"/>
  <c r="M201" i="1"/>
  <c r="L201" i="1"/>
  <c r="E201" i="1"/>
  <c r="N200" i="1"/>
  <c r="M200" i="1"/>
  <c r="L200" i="1"/>
  <c r="E200" i="1"/>
  <c r="M199" i="1"/>
  <c r="L199" i="1"/>
  <c r="I199" i="1"/>
  <c r="N199" i="1" s="1"/>
  <c r="E199" i="1"/>
  <c r="L198" i="1"/>
  <c r="I198" i="1"/>
  <c r="N198" i="1" s="1"/>
  <c r="H198" i="1"/>
  <c r="M198" i="1" s="1"/>
  <c r="E198" i="1"/>
  <c r="N197" i="1"/>
  <c r="M197" i="1"/>
  <c r="G197" i="1"/>
  <c r="L197" i="1" s="1"/>
  <c r="E197" i="1"/>
  <c r="N196" i="1"/>
  <c r="M196" i="1"/>
  <c r="L196" i="1"/>
  <c r="E196" i="1"/>
  <c r="N195" i="1"/>
  <c r="M195" i="1"/>
  <c r="L195" i="1"/>
  <c r="E195" i="1"/>
  <c r="N194" i="1"/>
  <c r="M194" i="1"/>
  <c r="L194" i="1"/>
  <c r="E194" i="1"/>
  <c r="N193" i="1"/>
  <c r="M193" i="1"/>
  <c r="G193" i="1"/>
  <c r="L193" i="1" s="1"/>
  <c r="E193" i="1"/>
  <c r="N192" i="1"/>
  <c r="M192" i="1"/>
  <c r="L192" i="1"/>
  <c r="E192" i="1"/>
  <c r="N191" i="1"/>
  <c r="M191" i="1"/>
  <c r="L191" i="1"/>
  <c r="E191" i="1"/>
  <c r="N190" i="1"/>
  <c r="M190" i="1"/>
  <c r="L190" i="1"/>
  <c r="E190" i="1"/>
  <c r="M189" i="1"/>
  <c r="L189" i="1"/>
  <c r="I189" i="1"/>
  <c r="N189" i="1" s="1"/>
  <c r="E189" i="1"/>
  <c r="N188" i="1"/>
  <c r="M188" i="1"/>
  <c r="L188" i="1"/>
  <c r="N187" i="1"/>
  <c r="M187" i="1"/>
  <c r="L187" i="1"/>
  <c r="E187" i="1"/>
  <c r="N186" i="1"/>
  <c r="M186" i="1"/>
  <c r="L186" i="1"/>
  <c r="E186" i="1"/>
  <c r="N185" i="1"/>
  <c r="M185" i="1"/>
  <c r="L185" i="1"/>
  <c r="E185" i="1"/>
  <c r="N184" i="1"/>
  <c r="M184" i="1"/>
  <c r="L184" i="1"/>
  <c r="E184" i="1"/>
  <c r="N183" i="1"/>
  <c r="M183" i="1"/>
  <c r="L183" i="1"/>
  <c r="E183" i="1"/>
  <c r="M182" i="1"/>
  <c r="L182" i="1"/>
  <c r="E182" i="1"/>
  <c r="M181" i="1"/>
  <c r="L181" i="1"/>
  <c r="E181" i="1"/>
  <c r="M180" i="1"/>
  <c r="L180" i="1"/>
  <c r="E180" i="1"/>
  <c r="M179" i="1"/>
  <c r="L179" i="1"/>
  <c r="E179" i="1"/>
  <c r="M178" i="1"/>
  <c r="G178" i="1"/>
  <c r="L178" i="1" s="1"/>
  <c r="O178" i="1" s="1"/>
  <c r="E178" i="1"/>
  <c r="M177" i="1"/>
  <c r="L177" i="1"/>
  <c r="E177" i="1"/>
  <c r="M176" i="1"/>
  <c r="L176" i="1"/>
  <c r="E176" i="1"/>
  <c r="M175" i="1"/>
  <c r="L175" i="1"/>
  <c r="O175" i="1" s="1"/>
  <c r="N174" i="1"/>
  <c r="M174" i="1"/>
  <c r="L174" i="1"/>
  <c r="E174" i="1"/>
  <c r="N173" i="1"/>
  <c r="M173" i="1"/>
  <c r="L173" i="1"/>
  <c r="O173" i="1" s="1"/>
  <c r="E173" i="1"/>
  <c r="N172" i="1"/>
  <c r="M172" i="1"/>
  <c r="G172" i="1"/>
  <c r="L172" i="1" s="1"/>
  <c r="E172" i="1"/>
  <c r="N171" i="1"/>
  <c r="M171" i="1"/>
  <c r="L171" i="1"/>
  <c r="E171" i="1"/>
  <c r="N170" i="1"/>
  <c r="M170" i="1"/>
  <c r="L170" i="1"/>
  <c r="E170" i="1"/>
  <c r="N169" i="1"/>
  <c r="M169" i="1"/>
  <c r="L169" i="1"/>
  <c r="O169" i="1" s="1"/>
  <c r="E169" i="1"/>
  <c r="N168" i="1"/>
  <c r="M168" i="1"/>
  <c r="L168" i="1"/>
  <c r="K168" i="1"/>
  <c r="E168" i="1"/>
  <c r="N167" i="1"/>
  <c r="M167" i="1"/>
  <c r="L167" i="1"/>
  <c r="E167" i="1"/>
  <c r="N166" i="1"/>
  <c r="M166" i="1"/>
  <c r="L166" i="1"/>
  <c r="E166" i="1"/>
  <c r="N165" i="1"/>
  <c r="M165" i="1"/>
  <c r="L165" i="1"/>
  <c r="E165" i="1"/>
  <c r="N164" i="1"/>
  <c r="M164" i="1"/>
  <c r="L164" i="1"/>
  <c r="E164" i="1"/>
  <c r="N163" i="1"/>
  <c r="M163" i="1"/>
  <c r="G163" i="1"/>
  <c r="L163" i="1" s="1"/>
  <c r="E163" i="1"/>
  <c r="N162" i="1"/>
  <c r="M162" i="1"/>
  <c r="L162" i="1"/>
  <c r="E162" i="1"/>
  <c r="M161" i="1"/>
  <c r="L161" i="1"/>
  <c r="O161" i="1" s="1"/>
  <c r="E161" i="1"/>
  <c r="N160" i="1"/>
  <c r="M160" i="1"/>
  <c r="G160" i="1"/>
  <c r="L160" i="1" s="1"/>
  <c r="E160" i="1"/>
  <c r="M159" i="1"/>
  <c r="L159" i="1"/>
  <c r="O159" i="1" s="1"/>
  <c r="E159" i="1"/>
  <c r="N158" i="1"/>
  <c r="M158" i="1"/>
  <c r="L158" i="1"/>
  <c r="E158" i="1"/>
  <c r="N157" i="1"/>
  <c r="M157" i="1"/>
  <c r="G157" i="1"/>
  <c r="L157" i="1" s="1"/>
  <c r="E157" i="1"/>
  <c r="N156" i="1"/>
  <c r="M156" i="1"/>
  <c r="L156" i="1"/>
  <c r="E156" i="1"/>
  <c r="N155" i="1"/>
  <c r="M155" i="1"/>
  <c r="L155" i="1"/>
  <c r="E155" i="1"/>
  <c r="N154" i="1"/>
  <c r="M154" i="1"/>
  <c r="G154" i="1"/>
  <c r="L154" i="1" s="1"/>
  <c r="E154" i="1"/>
  <c r="N153" i="1"/>
  <c r="M153" i="1"/>
  <c r="L153" i="1"/>
  <c r="E153" i="1"/>
  <c r="N152" i="1"/>
  <c r="M152" i="1"/>
  <c r="L152" i="1"/>
  <c r="E152" i="1"/>
  <c r="N151" i="1"/>
  <c r="M151" i="1"/>
  <c r="I151" i="1"/>
  <c r="G151" i="1"/>
  <c r="L151" i="1" s="1"/>
  <c r="E151" i="1"/>
  <c r="L150" i="1"/>
  <c r="I150" i="1"/>
  <c r="N150" i="1" s="1"/>
  <c r="H150" i="1"/>
  <c r="M150" i="1" s="1"/>
  <c r="E150" i="1"/>
  <c r="N149" i="1"/>
  <c r="M149" i="1"/>
  <c r="L149" i="1"/>
  <c r="O149" i="1" s="1"/>
  <c r="E149" i="1"/>
  <c r="N148" i="1"/>
  <c r="M148" i="1"/>
  <c r="L148" i="1"/>
  <c r="K148" i="1"/>
  <c r="E148" i="1"/>
  <c r="N147" i="1"/>
  <c r="M147" i="1"/>
  <c r="L147" i="1"/>
  <c r="E147" i="1"/>
  <c r="N146" i="1"/>
  <c r="M146" i="1"/>
  <c r="L146" i="1"/>
  <c r="G146" i="1"/>
  <c r="N145" i="1"/>
  <c r="M145" i="1"/>
  <c r="L145" i="1"/>
  <c r="N144" i="1"/>
  <c r="M144" i="1"/>
  <c r="L144" i="1"/>
  <c r="E144" i="1"/>
  <c r="M143" i="1"/>
  <c r="I143" i="1"/>
  <c r="N143" i="1" s="1"/>
  <c r="G143" i="1"/>
  <c r="L143" i="1" s="1"/>
  <c r="N142" i="1"/>
  <c r="M142" i="1"/>
  <c r="L142" i="1"/>
  <c r="E142" i="1"/>
  <c r="N141" i="1"/>
  <c r="M141" i="1"/>
  <c r="L141" i="1"/>
  <c r="E141" i="1"/>
  <c r="N140" i="1"/>
  <c r="M140" i="1"/>
  <c r="L140" i="1"/>
  <c r="K140" i="1"/>
  <c r="E140" i="1"/>
  <c r="N139" i="1"/>
  <c r="M139" i="1"/>
  <c r="L139" i="1"/>
  <c r="E139" i="1"/>
  <c r="N138" i="1"/>
  <c r="M138" i="1"/>
  <c r="L138" i="1"/>
  <c r="E138" i="1"/>
  <c r="M137" i="1"/>
  <c r="L137" i="1"/>
  <c r="I137" i="1"/>
  <c r="N137" i="1" s="1"/>
  <c r="E137" i="1"/>
  <c r="N136" i="1"/>
  <c r="M136" i="1"/>
  <c r="L136" i="1"/>
  <c r="E136" i="1"/>
  <c r="N135" i="1"/>
  <c r="M135" i="1"/>
  <c r="L135" i="1"/>
  <c r="O135" i="1" s="1"/>
  <c r="N134" i="1"/>
  <c r="M134" i="1"/>
  <c r="G134" i="1"/>
  <c r="L134" i="1" s="1"/>
  <c r="N133" i="1"/>
  <c r="M133" i="1"/>
  <c r="L133" i="1"/>
  <c r="K133" i="1"/>
  <c r="N132" i="1"/>
  <c r="M132" i="1"/>
  <c r="L132" i="1"/>
  <c r="K132" i="1"/>
  <c r="N131" i="1"/>
  <c r="M131" i="1"/>
  <c r="L131" i="1"/>
  <c r="E131" i="1"/>
  <c r="N130" i="1"/>
  <c r="M130" i="1"/>
  <c r="G130" i="1"/>
  <c r="L130" i="1" s="1"/>
  <c r="E130" i="1"/>
  <c r="N129" i="1"/>
  <c r="M129" i="1"/>
  <c r="L129" i="1"/>
  <c r="K129" i="1"/>
  <c r="E129" i="1"/>
  <c r="N128" i="1"/>
  <c r="M128" i="1"/>
  <c r="L128" i="1"/>
  <c r="E128" i="1"/>
  <c r="N127" i="1"/>
  <c r="M127" i="1"/>
  <c r="L127" i="1"/>
  <c r="E127" i="1"/>
  <c r="N126" i="1"/>
  <c r="M126" i="1"/>
  <c r="L126" i="1"/>
  <c r="E126" i="1"/>
  <c r="N125" i="1"/>
  <c r="M125" i="1"/>
  <c r="I125" i="1"/>
  <c r="G125" i="1"/>
  <c r="L125" i="1" s="1"/>
  <c r="E125" i="1"/>
  <c r="N124" i="1"/>
  <c r="M124" i="1"/>
  <c r="L124" i="1"/>
  <c r="E124" i="1"/>
  <c r="N123" i="1"/>
  <c r="M123" i="1"/>
  <c r="L123" i="1"/>
  <c r="E123" i="1"/>
  <c r="N122" i="1"/>
  <c r="M122" i="1"/>
  <c r="L122" i="1"/>
  <c r="E122" i="1"/>
  <c r="N121" i="1"/>
  <c r="M121" i="1"/>
  <c r="L121" i="1"/>
  <c r="E121" i="1"/>
  <c r="N120" i="1"/>
  <c r="M120" i="1"/>
  <c r="L120" i="1"/>
  <c r="E120" i="1"/>
  <c r="N119" i="1"/>
  <c r="M119" i="1"/>
  <c r="L119" i="1"/>
  <c r="E119" i="1"/>
  <c r="N118" i="1"/>
  <c r="M118" i="1"/>
  <c r="L118" i="1"/>
  <c r="K118" i="1"/>
  <c r="E118" i="1"/>
  <c r="N117" i="1"/>
  <c r="M117" i="1"/>
  <c r="L117" i="1"/>
  <c r="O117" i="1" s="1"/>
  <c r="E117" i="1"/>
  <c r="N116" i="1"/>
  <c r="M116" i="1"/>
  <c r="L116" i="1"/>
  <c r="E116" i="1"/>
  <c r="N115" i="1"/>
  <c r="M115" i="1"/>
  <c r="L115" i="1"/>
  <c r="O115" i="1" s="1"/>
  <c r="E115" i="1"/>
  <c r="N114" i="1"/>
  <c r="M114" i="1"/>
  <c r="L114" i="1"/>
  <c r="E114" i="1"/>
  <c r="M113" i="1"/>
  <c r="L113" i="1"/>
  <c r="I113" i="1"/>
  <c r="N113" i="1" s="1"/>
  <c r="E113" i="1"/>
  <c r="N112" i="1"/>
  <c r="M112" i="1"/>
  <c r="L112" i="1"/>
  <c r="O112" i="1" s="1"/>
  <c r="E112" i="1"/>
  <c r="I111" i="1"/>
  <c r="N111" i="1" s="1"/>
  <c r="H111" i="1"/>
  <c r="M111" i="1" s="1"/>
  <c r="G111" i="1"/>
  <c r="L111" i="1" s="1"/>
  <c r="E111" i="1"/>
  <c r="N110" i="1"/>
  <c r="M110" i="1"/>
  <c r="G110" i="1"/>
  <c r="L110" i="1" s="1"/>
  <c r="O110" i="1" s="1"/>
  <c r="E110" i="1"/>
  <c r="N109" i="1"/>
  <c r="M109" i="1"/>
  <c r="L109" i="1"/>
  <c r="K109" i="1"/>
  <c r="E109" i="1"/>
  <c r="N108" i="1"/>
  <c r="M108" i="1"/>
  <c r="L108" i="1"/>
  <c r="E108" i="1"/>
  <c r="N107" i="1"/>
  <c r="M107" i="1"/>
  <c r="L107" i="1"/>
  <c r="E107" i="1"/>
  <c r="N106" i="1"/>
  <c r="M106" i="1"/>
  <c r="L106" i="1"/>
  <c r="E106" i="1"/>
  <c r="N105" i="1"/>
  <c r="O105" i="1" s="1"/>
  <c r="M105" i="1"/>
  <c r="L105" i="1"/>
  <c r="E105" i="1"/>
  <c r="N104" i="1"/>
  <c r="M104" i="1"/>
  <c r="L104" i="1"/>
  <c r="E104" i="1"/>
  <c r="M103" i="1"/>
  <c r="L103" i="1"/>
  <c r="I103" i="1"/>
  <c r="N103" i="1" s="1"/>
  <c r="E103" i="1"/>
  <c r="N102" i="1"/>
  <c r="M102" i="1"/>
  <c r="G102" i="1"/>
  <c r="L102" i="1" s="1"/>
  <c r="E102" i="1"/>
  <c r="N101" i="1"/>
  <c r="M101" i="1"/>
  <c r="L101" i="1"/>
  <c r="E101" i="1"/>
  <c r="N100" i="1"/>
  <c r="M100" i="1"/>
  <c r="L100" i="1"/>
  <c r="E100" i="1"/>
  <c r="M99" i="1"/>
  <c r="L99" i="1"/>
  <c r="I99" i="1"/>
  <c r="N99" i="1" s="1"/>
  <c r="H99" i="1"/>
  <c r="E99" i="1"/>
  <c r="N98" i="1"/>
  <c r="M98" i="1"/>
  <c r="L98" i="1"/>
  <c r="E98" i="1"/>
  <c r="N97" i="1"/>
  <c r="M97" i="1"/>
  <c r="L97" i="1"/>
  <c r="E97" i="1"/>
  <c r="N96" i="1"/>
  <c r="M96" i="1"/>
  <c r="G96" i="1"/>
  <c r="L96" i="1" s="1"/>
  <c r="E96" i="1"/>
  <c r="N95" i="1"/>
  <c r="M95" i="1"/>
  <c r="L95" i="1"/>
  <c r="O95" i="1" s="1"/>
  <c r="E95" i="1"/>
  <c r="N94" i="1"/>
  <c r="M94" i="1"/>
  <c r="L94" i="1"/>
  <c r="E94" i="1"/>
  <c r="N93" i="1"/>
  <c r="M93" i="1"/>
  <c r="L93" i="1"/>
  <c r="E93" i="1"/>
  <c r="N92" i="1"/>
  <c r="M92" i="1"/>
  <c r="G92" i="1"/>
  <c r="L92" i="1" s="1"/>
  <c r="E92" i="1"/>
  <c r="N91" i="1"/>
  <c r="M91" i="1"/>
  <c r="L91" i="1"/>
  <c r="E91" i="1"/>
  <c r="M90" i="1"/>
  <c r="L90" i="1"/>
  <c r="I90" i="1"/>
  <c r="N90" i="1" s="1"/>
  <c r="E90" i="1"/>
  <c r="N89" i="1"/>
  <c r="M89" i="1"/>
  <c r="L89" i="1"/>
  <c r="E89" i="1"/>
  <c r="N88" i="1"/>
  <c r="M88" i="1"/>
  <c r="L88" i="1"/>
  <c r="K88" i="1"/>
  <c r="E88" i="1"/>
  <c r="N87" i="1"/>
  <c r="M87" i="1"/>
  <c r="L87" i="1"/>
  <c r="E87" i="1"/>
  <c r="N86" i="1"/>
  <c r="M86" i="1"/>
  <c r="L86" i="1"/>
  <c r="E86" i="1"/>
  <c r="N85" i="1"/>
  <c r="M85" i="1"/>
  <c r="G85" i="1"/>
  <c r="L85" i="1" s="1"/>
  <c r="E85" i="1"/>
  <c r="M84" i="1"/>
  <c r="L84" i="1"/>
  <c r="I84" i="1"/>
  <c r="N84" i="1" s="1"/>
  <c r="E84" i="1"/>
  <c r="N83" i="1"/>
  <c r="M83" i="1"/>
  <c r="L83" i="1"/>
  <c r="E83" i="1"/>
  <c r="N82" i="1"/>
  <c r="M82" i="1"/>
  <c r="L82" i="1"/>
  <c r="E82" i="1"/>
  <c r="M81" i="1"/>
  <c r="L81" i="1"/>
  <c r="I81" i="1"/>
  <c r="N81" i="1" s="1"/>
  <c r="E81" i="1"/>
  <c r="M80" i="1"/>
  <c r="I80" i="1"/>
  <c r="N80" i="1" s="1"/>
  <c r="G80" i="1"/>
  <c r="L80" i="1" s="1"/>
  <c r="E80" i="1"/>
  <c r="M79" i="1"/>
  <c r="I79" i="1"/>
  <c r="N79" i="1" s="1"/>
  <c r="G79" i="1"/>
  <c r="L79" i="1" s="1"/>
  <c r="E79" i="1"/>
  <c r="N78" i="1"/>
  <c r="M78" i="1"/>
  <c r="L78" i="1"/>
  <c r="E78" i="1"/>
  <c r="N77" i="1"/>
  <c r="M77" i="1"/>
  <c r="L77" i="1"/>
  <c r="E77" i="1"/>
  <c r="N76" i="1"/>
  <c r="M76" i="1"/>
  <c r="L76" i="1"/>
  <c r="K76" i="1"/>
  <c r="E76" i="1"/>
  <c r="N75" i="1"/>
  <c r="M75" i="1"/>
  <c r="L75" i="1"/>
  <c r="K75" i="1"/>
  <c r="E75" i="1"/>
  <c r="N74" i="1"/>
  <c r="M74" i="1"/>
  <c r="L74" i="1"/>
  <c r="E74" i="1"/>
  <c r="M73" i="1"/>
  <c r="L73" i="1"/>
  <c r="I73" i="1"/>
  <c r="N73" i="1" s="1"/>
  <c r="E73" i="1"/>
  <c r="M72" i="1"/>
  <c r="L72" i="1"/>
  <c r="I72" i="1"/>
  <c r="N72" i="1" s="1"/>
  <c r="E72" i="1"/>
  <c r="N71" i="1"/>
  <c r="M71" i="1"/>
  <c r="L71" i="1"/>
  <c r="E71" i="1"/>
  <c r="N70" i="1"/>
  <c r="M70" i="1"/>
  <c r="L70" i="1"/>
  <c r="E70" i="1"/>
  <c r="N69" i="1"/>
  <c r="M69" i="1"/>
  <c r="L69" i="1"/>
  <c r="E69" i="1"/>
  <c r="N68" i="1"/>
  <c r="M68" i="1"/>
  <c r="L68" i="1"/>
  <c r="O68" i="1" s="1"/>
  <c r="E68" i="1"/>
  <c r="N67" i="1"/>
  <c r="M67" i="1"/>
  <c r="G67" i="1"/>
  <c r="L67" i="1" s="1"/>
  <c r="O67" i="1" s="1"/>
  <c r="E67" i="1"/>
  <c r="N66" i="1"/>
  <c r="M66" i="1"/>
  <c r="L66" i="1"/>
  <c r="E66" i="1"/>
  <c r="M65" i="1"/>
  <c r="L65" i="1"/>
  <c r="I65" i="1"/>
  <c r="N65" i="1" s="1"/>
  <c r="O65" i="1" s="1"/>
  <c r="E65" i="1"/>
  <c r="N64" i="1"/>
  <c r="M64" i="1"/>
  <c r="L64" i="1"/>
  <c r="E64" i="1"/>
  <c r="N63" i="1"/>
  <c r="M63" i="1"/>
  <c r="L63" i="1"/>
  <c r="O63" i="1" s="1"/>
  <c r="E63" i="1"/>
  <c r="N62" i="1"/>
  <c r="M62" i="1"/>
  <c r="L62" i="1"/>
  <c r="O62" i="1" s="1"/>
  <c r="E62" i="1"/>
  <c r="N61" i="1"/>
  <c r="M61" i="1"/>
  <c r="L61" i="1"/>
  <c r="O61" i="1" s="1"/>
  <c r="E61" i="1"/>
  <c r="N60" i="1"/>
  <c r="M60" i="1"/>
  <c r="L60" i="1"/>
  <c r="E60" i="1"/>
  <c r="M59" i="1"/>
  <c r="L59" i="1"/>
  <c r="K59" i="1"/>
  <c r="O59" i="1" s="1"/>
  <c r="E59" i="1"/>
  <c r="N58" i="1"/>
  <c r="M58" i="1"/>
  <c r="L58" i="1"/>
  <c r="K58" i="1"/>
  <c r="E58" i="1"/>
  <c r="N57" i="1"/>
  <c r="M57" i="1"/>
  <c r="G57" i="1"/>
  <c r="L57" i="1" s="1"/>
  <c r="E57" i="1"/>
  <c r="N56" i="1"/>
  <c r="M56" i="1"/>
  <c r="L56" i="1"/>
  <c r="O56" i="1" s="1"/>
  <c r="E56" i="1"/>
  <c r="N55" i="1"/>
  <c r="M55" i="1"/>
  <c r="L55" i="1"/>
  <c r="E55" i="1"/>
  <c r="N54" i="1"/>
  <c r="M54" i="1"/>
  <c r="L54" i="1"/>
  <c r="K54" i="1"/>
  <c r="E54" i="1"/>
  <c r="N53" i="1"/>
  <c r="M53" i="1"/>
  <c r="L53" i="1"/>
  <c r="E53" i="1"/>
  <c r="M52" i="1"/>
  <c r="L52" i="1"/>
  <c r="E52" i="1"/>
  <c r="M51" i="1"/>
  <c r="L51" i="1"/>
  <c r="E51" i="1"/>
  <c r="N50" i="1"/>
  <c r="M50" i="1"/>
  <c r="L50" i="1"/>
  <c r="E50" i="1"/>
  <c r="N49" i="1"/>
  <c r="M49" i="1"/>
  <c r="L49" i="1"/>
  <c r="E49" i="1"/>
  <c r="N48" i="1"/>
  <c r="M48" i="1"/>
  <c r="L48" i="1"/>
  <c r="E48" i="1"/>
  <c r="N47" i="1"/>
  <c r="L47" i="1"/>
  <c r="H47" i="1"/>
  <c r="M47" i="1" s="1"/>
  <c r="E47" i="1"/>
  <c r="N46" i="1"/>
  <c r="M46" i="1"/>
  <c r="L46" i="1"/>
  <c r="E46" i="1"/>
  <c r="M45" i="1"/>
  <c r="L45" i="1"/>
  <c r="I45" i="1"/>
  <c r="N45" i="1" s="1"/>
  <c r="E45" i="1"/>
  <c r="M44" i="1"/>
  <c r="L44" i="1"/>
  <c r="I44" i="1"/>
  <c r="N44" i="1" s="1"/>
  <c r="E44" i="1"/>
  <c r="N43" i="1"/>
  <c r="M43" i="1"/>
  <c r="L43" i="1"/>
  <c r="E43" i="1"/>
  <c r="N42" i="1"/>
  <c r="M42" i="1"/>
  <c r="L42" i="1"/>
  <c r="E42" i="1"/>
  <c r="I41" i="1"/>
  <c r="N41" i="1" s="1"/>
  <c r="H41" i="1"/>
  <c r="M41" i="1" s="1"/>
  <c r="G41" i="1"/>
  <c r="L41" i="1" s="1"/>
  <c r="E41" i="1"/>
  <c r="M40" i="1"/>
  <c r="L40" i="1"/>
  <c r="I40" i="1"/>
  <c r="N40" i="1" s="1"/>
  <c r="E40" i="1"/>
  <c r="N39" i="1"/>
  <c r="M39" i="1"/>
  <c r="L39" i="1"/>
  <c r="E39" i="1"/>
  <c r="N38" i="1"/>
  <c r="M38" i="1"/>
  <c r="L38" i="1"/>
  <c r="E38" i="1"/>
  <c r="N37" i="1"/>
  <c r="M37" i="1"/>
  <c r="L37" i="1"/>
  <c r="E37" i="1"/>
  <c r="N36" i="1"/>
  <c r="M36" i="1"/>
  <c r="L36" i="1"/>
  <c r="E36" i="1"/>
  <c r="F35" i="1"/>
  <c r="M35" i="1" s="1"/>
  <c r="N34" i="1"/>
  <c r="M34" i="1"/>
  <c r="L34" i="1"/>
  <c r="E34" i="1"/>
  <c r="N33" i="1"/>
  <c r="M33" i="1"/>
  <c r="L33" i="1"/>
  <c r="E33" i="1"/>
  <c r="N32" i="1"/>
  <c r="M32" i="1"/>
  <c r="L32" i="1"/>
  <c r="E32" i="1"/>
  <c r="N31" i="1"/>
  <c r="M31" i="1"/>
  <c r="L31" i="1"/>
  <c r="M30" i="1"/>
  <c r="L30" i="1"/>
  <c r="I30" i="1"/>
  <c r="N30" i="1" s="1"/>
  <c r="E30" i="1"/>
  <c r="N29" i="1"/>
  <c r="M29" i="1"/>
  <c r="L29" i="1"/>
  <c r="E29" i="1"/>
  <c r="M28" i="1"/>
  <c r="L28" i="1"/>
  <c r="I28" i="1"/>
  <c r="N28" i="1" s="1"/>
  <c r="E28" i="1"/>
  <c r="N27" i="1"/>
  <c r="M27" i="1"/>
  <c r="L27" i="1"/>
  <c r="E27" i="1"/>
  <c r="M26" i="1"/>
  <c r="L26" i="1"/>
  <c r="E26" i="1"/>
  <c r="N25" i="1"/>
  <c r="M25" i="1"/>
  <c r="L25" i="1"/>
  <c r="O25" i="1" s="1"/>
  <c r="E25" i="1"/>
  <c r="N24" i="1"/>
  <c r="M24" i="1"/>
  <c r="L24" i="1"/>
  <c r="K24" i="1"/>
  <c r="N23" i="1"/>
  <c r="M23" i="1"/>
  <c r="L23" i="1"/>
  <c r="O23" i="1" s="1"/>
  <c r="N22" i="1"/>
  <c r="M22" i="1"/>
  <c r="K22" i="1"/>
  <c r="G22" i="1"/>
  <c r="L22" i="1" s="1"/>
  <c r="N21" i="1"/>
  <c r="M21" i="1"/>
  <c r="L21" i="1"/>
  <c r="N20" i="1"/>
  <c r="M20" i="1"/>
  <c r="G20" i="1"/>
  <c r="L20" i="1" s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K14" i="1"/>
  <c r="N13" i="1"/>
  <c r="M13" i="1"/>
  <c r="L13" i="1"/>
  <c r="N12" i="1"/>
  <c r="M12" i="1"/>
  <c r="L12" i="1"/>
  <c r="F11" i="1"/>
  <c r="M11" i="1" s="1"/>
  <c r="K10" i="1"/>
  <c r="F10" i="1"/>
  <c r="N10" i="1" s="1"/>
  <c r="F9" i="1"/>
  <c r="N9" i="1" s="1"/>
  <c r="F8" i="1"/>
  <c r="M8" i="1" s="1"/>
  <c r="F7" i="1"/>
  <c r="N7" i="1" s="1"/>
  <c r="F6" i="1"/>
  <c r="N6" i="1" s="1"/>
  <c r="F5" i="1"/>
  <c r="L5" i="1" s="1"/>
  <c r="G4" i="1"/>
  <c r="F4" i="1"/>
  <c r="N4" i="1" s="1"/>
  <c r="F1" i="1"/>
  <c r="L6" i="1" l="1"/>
  <c r="N11" i="1"/>
  <c r="O19" i="1"/>
  <c r="O144" i="1"/>
  <c r="O177" i="1"/>
  <c r="O180" i="1"/>
  <c r="O189" i="1"/>
  <c r="O197" i="1"/>
  <c r="O219" i="1"/>
  <c r="O221" i="1"/>
  <c r="O225" i="1"/>
  <c r="O94" i="1"/>
  <c r="O141" i="1"/>
  <c r="O38" i="1"/>
  <c r="O42" i="1"/>
  <c r="O83" i="1"/>
  <c r="O181" i="1"/>
  <c r="O194" i="1"/>
  <c r="O196" i="1"/>
  <c r="O222" i="1"/>
  <c r="O224" i="1"/>
  <c r="O226" i="1"/>
  <c r="L10" i="1"/>
  <c r="O53" i="1"/>
  <c r="O160" i="1"/>
  <c r="O164" i="1"/>
  <c r="O229" i="1"/>
  <c r="O34" i="1"/>
  <c r="O210" i="1"/>
  <c r="O21" i="1"/>
  <c r="O102" i="1"/>
  <c r="O154" i="1"/>
  <c r="O158" i="1"/>
  <c r="O172" i="1"/>
  <c r="O208" i="1"/>
  <c r="O214" i="1"/>
  <c r="O236" i="1"/>
  <c r="O238" i="1"/>
  <c r="O246" i="1"/>
  <c r="M5" i="1"/>
  <c r="O5" i="1" s="1"/>
  <c r="O74" i="1"/>
  <c r="O100" i="1"/>
  <c r="O104" i="1"/>
  <c r="O57" i="1"/>
  <c r="O91" i="1"/>
  <c r="O93" i="1"/>
  <c r="O106" i="1"/>
  <c r="O108" i="1"/>
  <c r="O145" i="1"/>
  <c r="O152" i="1"/>
  <c r="O179" i="1"/>
  <c r="O182" i="1"/>
  <c r="O184" i="1"/>
  <c r="O54" i="1"/>
  <c r="O97" i="1"/>
  <c r="O239" i="1"/>
  <c r="O26" i="1"/>
  <c r="O37" i="1"/>
  <c r="O86" i="1"/>
  <c r="O88" i="1"/>
  <c r="O153" i="1"/>
  <c r="O155" i="1"/>
  <c r="O157" i="1"/>
  <c r="O167" i="1"/>
  <c r="O39" i="1"/>
  <c r="O122" i="1"/>
  <c r="O128" i="1"/>
  <c r="O132" i="1"/>
  <c r="O134" i="1"/>
  <c r="O136" i="1"/>
  <c r="O138" i="1"/>
  <c r="O211" i="1"/>
  <c r="O233" i="1"/>
  <c r="O13" i="1"/>
  <c r="O15" i="1"/>
  <c r="O27" i="1"/>
  <c r="O29" i="1"/>
  <c r="O31" i="1"/>
  <c r="O33" i="1"/>
  <c r="O77" i="1"/>
  <c r="O148" i="1"/>
  <c r="O166" i="1"/>
  <c r="O228" i="1"/>
  <c r="O198" i="1"/>
  <c r="O245" i="1"/>
  <c r="O20" i="1"/>
  <c r="O45" i="1"/>
  <c r="O47" i="1"/>
  <c r="O49" i="1"/>
  <c r="O51" i="1"/>
  <c r="O55" i="1"/>
  <c r="O64" i="1"/>
  <c r="O75" i="1"/>
  <c r="O80" i="1"/>
  <c r="O82" i="1"/>
  <c r="O98" i="1"/>
  <c r="O120" i="1"/>
  <c r="O131" i="1"/>
  <c r="O133" i="1"/>
  <c r="O137" i="1"/>
  <c r="O139" i="1"/>
  <c r="O151" i="1"/>
  <c r="O162" i="1"/>
  <c r="O171" i="1"/>
  <c r="O205" i="1"/>
  <c r="O231" i="1"/>
  <c r="M10" i="1"/>
  <c r="O70" i="1"/>
  <c r="O124" i="1"/>
  <c r="O126" i="1"/>
  <c r="O150" i="1"/>
  <c r="O168" i="1"/>
  <c r="O186" i="1"/>
  <c r="O190" i="1"/>
  <c r="O192" i="1"/>
  <c r="O201" i="1"/>
  <c r="O212" i="1"/>
  <c r="O237" i="1"/>
  <c r="O18" i="1"/>
  <c r="O216" i="1"/>
  <c r="O220" i="1"/>
  <c r="O230" i="1"/>
  <c r="O79" i="1"/>
  <c r="N35" i="1"/>
  <c r="M4" i="1"/>
  <c r="N8" i="1"/>
  <c r="O14" i="1"/>
  <c r="O16" i="1"/>
  <c r="O46" i="1"/>
  <c r="O48" i="1"/>
  <c r="O50" i="1"/>
  <c r="O52" i="1"/>
  <c r="O90" i="1"/>
  <c r="O119" i="1"/>
  <c r="O121" i="1"/>
  <c r="O130" i="1"/>
  <c r="O140" i="1"/>
  <c r="O147" i="1"/>
  <c r="O163" i="1"/>
  <c r="O165" i="1"/>
  <c r="O183" i="1"/>
  <c r="O185" i="1"/>
  <c r="O187" i="1"/>
  <c r="O200" i="1"/>
  <c r="O202" i="1"/>
  <c r="O206" i="1"/>
  <c r="O235" i="1"/>
  <c r="O72" i="1"/>
  <c r="O44" i="1"/>
  <c r="O36" i="1"/>
  <c r="O58" i="1"/>
  <c r="O69" i="1"/>
  <c r="O71" i="1"/>
  <c r="O76" i="1"/>
  <c r="O85" i="1"/>
  <c r="O92" i="1"/>
  <c r="O99" i="1"/>
  <c r="O101" i="1"/>
  <c r="O123" i="1"/>
  <c r="O125" i="1"/>
  <c r="O170" i="1"/>
  <c r="O191" i="1"/>
  <c r="O193" i="1"/>
  <c r="O232" i="1"/>
  <c r="M9" i="1"/>
  <c r="O12" i="1"/>
  <c r="O43" i="1"/>
  <c r="O60" i="1"/>
  <c r="O78" i="1"/>
  <c r="O87" i="1"/>
  <c r="O107" i="1"/>
  <c r="O109" i="1"/>
  <c r="O114" i="1"/>
  <c r="O127" i="1"/>
  <c r="O142" i="1"/>
  <c r="O176" i="1"/>
  <c r="O195" i="1"/>
  <c r="O204" i="1"/>
  <c r="O217" i="1"/>
  <c r="O234" i="1"/>
  <c r="O17" i="1"/>
  <c r="O24" i="1"/>
  <c r="O30" i="1"/>
  <c r="O32" i="1"/>
  <c r="O40" i="1"/>
  <c r="O66" i="1"/>
  <c r="O73" i="1"/>
  <c r="O89" i="1"/>
  <c r="O96" i="1"/>
  <c r="O116" i="1"/>
  <c r="O118" i="1"/>
  <c r="O129" i="1"/>
  <c r="O146" i="1"/>
  <c r="O156" i="1"/>
  <c r="O174" i="1"/>
  <c r="O188" i="1"/>
  <c r="O215" i="1"/>
  <c r="O223" i="1"/>
  <c r="O242" i="1"/>
  <c r="O199" i="1"/>
  <c r="O84" i="1"/>
  <c r="O111" i="1"/>
  <c r="O143" i="1"/>
  <c r="O203" i="1"/>
  <c r="O113" i="1"/>
  <c r="O209" i="1"/>
  <c r="N218" i="1"/>
  <c r="N248" i="1" s="1"/>
  <c r="N253" i="1" s="1"/>
  <c r="M218" i="1"/>
  <c r="L218" i="1"/>
  <c r="O41" i="1"/>
  <c r="O81" i="1"/>
  <c r="O22" i="1"/>
  <c r="O28" i="1"/>
  <c r="O103" i="1"/>
  <c r="O227" i="1"/>
  <c r="O244" i="1"/>
  <c r="L7" i="1"/>
  <c r="M7" i="1"/>
  <c r="L4" i="1"/>
  <c r="L9" i="1"/>
  <c r="O9" i="1" s="1"/>
  <c r="K248" i="1"/>
  <c r="K253" i="1" s="1"/>
  <c r="M6" i="1"/>
  <c r="O6" i="1" s="1"/>
  <c r="L8" i="1"/>
  <c r="O8" i="1" s="1"/>
  <c r="L11" i="1"/>
  <c r="O11" i="1" s="1"/>
  <c r="L35" i="1"/>
  <c r="O35" i="1" s="1"/>
  <c r="O10" i="1" l="1"/>
  <c r="M248" i="1"/>
  <c r="M253" i="1" s="1"/>
  <c r="O7" i="1"/>
  <c r="O218" i="1"/>
  <c r="O4" i="1"/>
  <c r="L248" i="1"/>
  <c r="L253" i="1" s="1"/>
  <c r="O248" i="1" l="1"/>
  <c r="O253" i="1" s="1"/>
</calcChain>
</file>

<file path=xl/sharedStrings.xml><?xml version="1.0" encoding="utf-8"?>
<sst xmlns="http://schemas.openxmlformats.org/spreadsheetml/2006/main" count="517" uniqueCount="506">
  <si>
    <t>Список должников ГСК-1</t>
  </si>
  <si>
    <t xml:space="preserve"> № блока</t>
  </si>
  <si>
    <t>Ф.И.О.</t>
  </si>
  <si>
    <t xml:space="preserve">взносы </t>
  </si>
  <si>
    <t>отопление</t>
  </si>
  <si>
    <t xml:space="preserve"> № бокса</t>
  </si>
  <si>
    <t>Площадь</t>
  </si>
  <si>
    <t>Коэф-т</t>
  </si>
  <si>
    <t>за 2018 год</t>
  </si>
  <si>
    <t>за 2019 год</t>
  </si>
  <si>
    <t>по кассе</t>
  </si>
  <si>
    <t>по банку</t>
  </si>
  <si>
    <t>долги на 31.12.17</t>
  </si>
  <si>
    <t>долг за 2018</t>
  </si>
  <si>
    <t>долг за 2019</t>
  </si>
  <si>
    <t>отопление 18/19</t>
  </si>
  <si>
    <t>ИТОГО на 31.12.2019</t>
  </si>
  <si>
    <t>1-13</t>
  </si>
  <si>
    <t>Вольмар Сергей Данилович</t>
  </si>
  <si>
    <t>2-2а</t>
  </si>
  <si>
    <t>Андохин Степан Геннадьевич</t>
  </si>
  <si>
    <t>нет гаража</t>
  </si>
  <si>
    <t>2-18</t>
  </si>
  <si>
    <t>Ткаченко Татьяна Ивановна</t>
  </si>
  <si>
    <t>2-25</t>
  </si>
  <si>
    <t>Терехов Станислав Сергеевич</t>
  </si>
  <si>
    <t>3-2</t>
  </si>
  <si>
    <t>Ладик Алена Хамитовна</t>
  </si>
  <si>
    <t>3-42</t>
  </si>
  <si>
    <t>Борисов Роман Владимирович</t>
  </si>
  <si>
    <t>4-9</t>
  </si>
  <si>
    <t>Бахарев Артём Александрович</t>
  </si>
  <si>
    <t>4-39</t>
  </si>
  <si>
    <t>Журавлев Владимир Леонидович</t>
  </si>
  <si>
    <t>5-3</t>
  </si>
  <si>
    <t>Ободенко Николай Владимирович</t>
  </si>
  <si>
    <t>5-12</t>
  </si>
  <si>
    <t>Назаров Николай Владимирович</t>
  </si>
  <si>
    <t>5-17</t>
  </si>
  <si>
    <t>Тюменцев Дмитрий Витальевич</t>
  </si>
  <si>
    <t>5-30</t>
  </si>
  <si>
    <t>Прокопчук Галина Ивановна</t>
  </si>
  <si>
    <t>5-41</t>
  </si>
  <si>
    <t>Гаркаев Дмитрий Викторович</t>
  </si>
  <si>
    <t>5-43</t>
  </si>
  <si>
    <t>Сарвадеев Александр Сергеевич</t>
  </si>
  <si>
    <t>6-11</t>
  </si>
  <si>
    <t>Иванцов Константин Александрович</t>
  </si>
  <si>
    <t>7-14</t>
  </si>
  <si>
    <t>Веретенин Анатолий Геннадьевич</t>
  </si>
  <si>
    <t>7-23</t>
  </si>
  <si>
    <t>Темникова Любовь Михайловна</t>
  </si>
  <si>
    <t>7-27</t>
  </si>
  <si>
    <t>Пархоменко Олег Анатольевич</t>
  </si>
  <si>
    <t>7-31</t>
  </si>
  <si>
    <t>Гурков Виталий Николаевич</t>
  </si>
  <si>
    <t>7-37</t>
  </si>
  <si>
    <t>Тимошенко Надежда Владимировна</t>
  </si>
  <si>
    <t>7-38</t>
  </si>
  <si>
    <t xml:space="preserve">Конюхова Тамара Сергеевна </t>
  </si>
  <si>
    <t>8-2</t>
  </si>
  <si>
    <t>Журавлев  Владимир Иванович</t>
  </si>
  <si>
    <t>8-5</t>
  </si>
  <si>
    <t>Чупрова Любовь Андреевна</t>
  </si>
  <si>
    <t>8-6</t>
  </si>
  <si>
    <t>Оглезнев Олег Петрович</t>
  </si>
  <si>
    <t>8-26</t>
  </si>
  <si>
    <t>Рябова Елена Александровна</t>
  </si>
  <si>
    <t>8-33</t>
  </si>
  <si>
    <t>Шелкунов Николай Владимирович</t>
  </si>
  <si>
    <t>9-2</t>
  </si>
  <si>
    <t>Сильнягин Павел Анатольевич</t>
  </si>
  <si>
    <t>9-18</t>
  </si>
  <si>
    <t>Кузьмин Андрей Леонидович</t>
  </si>
  <si>
    <t>9-23</t>
  </si>
  <si>
    <t>Прокопенко Алексей Геннадьевич</t>
  </si>
  <si>
    <t>9-40</t>
  </si>
  <si>
    <t>Копнина Наталья Николаевна</t>
  </si>
  <si>
    <t>10-33</t>
  </si>
  <si>
    <t>Агеева Нина Семёновна</t>
  </si>
  <si>
    <t>11-1а</t>
  </si>
  <si>
    <t>Сыденов Дмитрий Доржеевич</t>
  </si>
  <si>
    <t>11-4</t>
  </si>
  <si>
    <t>Шевцов Владимир Григорьевич</t>
  </si>
  <si>
    <t>11-11</t>
  </si>
  <si>
    <t>Пикалов Андрей Вячеславович</t>
  </si>
  <si>
    <t>11-20</t>
  </si>
  <si>
    <t xml:space="preserve">Сазонов Марк Дмитриевич </t>
  </si>
  <si>
    <t>11-31</t>
  </si>
  <si>
    <t>Титкова Мария Фёдоровна</t>
  </si>
  <si>
    <t>11-36</t>
  </si>
  <si>
    <t>Плужников Виктор Геннадьевич</t>
  </si>
  <si>
    <t>11-45</t>
  </si>
  <si>
    <t>Кузнецов Павел Владимирович</t>
  </si>
  <si>
    <t>12-13</t>
  </si>
  <si>
    <t xml:space="preserve">Бахматов Сергей Яковлевич </t>
  </si>
  <si>
    <t>12-15</t>
  </si>
  <si>
    <t>Гасс Александр Романович</t>
  </si>
  <si>
    <t>12-24</t>
  </si>
  <si>
    <t>Бура Ольга Евгеньевна</t>
  </si>
  <si>
    <t>13-8</t>
  </si>
  <si>
    <t>Гурзо Влада Владиславовна</t>
  </si>
  <si>
    <t>13-24</t>
  </si>
  <si>
    <t>Холодков Алексей Викторович</t>
  </si>
  <si>
    <t>13-27</t>
  </si>
  <si>
    <t>Гоголева Татьяна Васильевна</t>
  </si>
  <si>
    <t>13-28</t>
  </si>
  <si>
    <t>Жданова Ольга Михайловна</t>
  </si>
  <si>
    <t>13-29</t>
  </si>
  <si>
    <t>Димов Алексей Владимирович</t>
  </si>
  <si>
    <t>13-38</t>
  </si>
  <si>
    <t>Любченко Ольга Александровна</t>
  </si>
  <si>
    <t>14-2</t>
  </si>
  <si>
    <t>Петров Юрий Геннадьевич</t>
  </si>
  <si>
    <t>14-16</t>
  </si>
  <si>
    <t>Кузнецов Владимир Леонидович</t>
  </si>
  <si>
    <t>14-27</t>
  </si>
  <si>
    <t>Дерменёв  Алексей Борисович</t>
  </si>
  <si>
    <t>14-31</t>
  </si>
  <si>
    <t>Высоцкий Владимир Васильевич</t>
  </si>
  <si>
    <t>15-19</t>
  </si>
  <si>
    <t xml:space="preserve">Столярова Анна Николаевна </t>
  </si>
  <si>
    <t>15-27</t>
  </si>
  <si>
    <t xml:space="preserve">Солтавец Вера  Николаевна </t>
  </si>
  <si>
    <t>15-37</t>
  </si>
  <si>
    <t xml:space="preserve">Котов Дмитрий Вадимович </t>
  </si>
  <si>
    <t>15-44</t>
  </si>
  <si>
    <t>Садохин Дмитрий Михайлович</t>
  </si>
  <si>
    <t>16-17</t>
  </si>
  <si>
    <t>Дворников Евгений Владимирович</t>
  </si>
  <si>
    <t>17-9</t>
  </si>
  <si>
    <t>Бахматов Сергей Яковлевич</t>
  </si>
  <si>
    <t>17-13</t>
  </si>
  <si>
    <t>Горохова Наталья Вениаминовна</t>
  </si>
  <si>
    <t>17-18</t>
  </si>
  <si>
    <t>Гапаненко Александр Аркадьевич</t>
  </si>
  <si>
    <t>17-19</t>
  </si>
  <si>
    <t>Колесников Андрей Васильевич</t>
  </si>
  <si>
    <t>17-22</t>
  </si>
  <si>
    <t>Жерносенко Владимир Васильевич</t>
  </si>
  <si>
    <t>17-29</t>
  </si>
  <si>
    <t>Шумилов Алексей Александрович</t>
  </si>
  <si>
    <t>18-2</t>
  </si>
  <si>
    <t>Уланов Анатолий Иванович</t>
  </si>
  <si>
    <t>18-8</t>
  </si>
  <si>
    <t>Горбунов Валерий Васильевич</t>
  </si>
  <si>
    <t>18-13</t>
  </si>
  <si>
    <t>Нефедьева Ольга Пвловна</t>
  </si>
  <si>
    <t>18-27</t>
  </si>
  <si>
    <t>Комаров Михаил Александрович</t>
  </si>
  <si>
    <t>18-30</t>
  </si>
  <si>
    <t>Шиханов Александр Валерьевич</t>
  </si>
  <si>
    <t>19-2</t>
  </si>
  <si>
    <t>Чечеткин Сергей Александрович</t>
  </si>
  <si>
    <t>19-18</t>
  </si>
  <si>
    <t>Новикова Мария Николаевна</t>
  </si>
  <si>
    <t>19-19</t>
  </si>
  <si>
    <t>Хузина Мариам Ахметовна</t>
  </si>
  <si>
    <t>21-7</t>
  </si>
  <si>
    <t>Куковенко Анатолий Михайлович</t>
  </si>
  <si>
    <t>21-11</t>
  </si>
  <si>
    <t>Ларина Ирина Александровна</t>
  </si>
  <si>
    <t>21-34</t>
  </si>
  <si>
    <t>Гуренкова Валентина Ивановна</t>
  </si>
  <si>
    <t>21-35</t>
  </si>
  <si>
    <t>Иванов Никита Юрьевич</t>
  </si>
  <si>
    <t>22-20</t>
  </si>
  <si>
    <t>Иванова Татьяна Кирилловна</t>
  </si>
  <si>
    <t>22-21</t>
  </si>
  <si>
    <t>Костылев Андрей Сергеевич</t>
  </si>
  <si>
    <t>23-8</t>
  </si>
  <si>
    <t xml:space="preserve">Ступина Елена Викторовна  </t>
  </si>
  <si>
    <t>23-28</t>
  </si>
  <si>
    <t xml:space="preserve">Фалалеева Елена Владимировна </t>
  </si>
  <si>
    <t>23-35</t>
  </si>
  <si>
    <t>Бугарский Александр Николаевич</t>
  </si>
  <si>
    <t>23-36</t>
  </si>
  <si>
    <t xml:space="preserve">Баирова Галина Федоровна </t>
  </si>
  <si>
    <t>24-17</t>
  </si>
  <si>
    <t>Колодинская Ирина Альфредовна</t>
  </si>
  <si>
    <t>24-19</t>
  </si>
  <si>
    <t>Бебнев Александр Александрович</t>
  </si>
  <si>
    <t>24-20</t>
  </si>
  <si>
    <t>24-24</t>
  </si>
  <si>
    <t>Парфенова Надежда Николаевна</t>
  </si>
  <si>
    <t>25-13</t>
  </si>
  <si>
    <t>Ефимов Николай Николаевич</t>
  </si>
  <si>
    <t>25-17</t>
  </si>
  <si>
    <t>Сурков Андрей Константинович</t>
  </si>
  <si>
    <t>25-23</t>
  </si>
  <si>
    <t>Рекунова Мария Викторовна</t>
  </si>
  <si>
    <t>25-27</t>
  </si>
  <si>
    <t>Яцкевич Виктор Владимирович</t>
  </si>
  <si>
    <t>25-32</t>
  </si>
  <si>
    <t xml:space="preserve">Саблин Артем Владимирович </t>
  </si>
  <si>
    <t>25-38</t>
  </si>
  <si>
    <t>Кузаков Александр Юрьевич</t>
  </si>
  <si>
    <t>25-42</t>
  </si>
  <si>
    <t>Бояркина Марина Геннадьевна</t>
  </si>
  <si>
    <t>26-2</t>
  </si>
  <si>
    <t>Панасюк Тамара Константиновна</t>
  </si>
  <si>
    <t>26-6</t>
  </si>
  <si>
    <t>Чичирко Анатолий Васильевич</t>
  </si>
  <si>
    <t>26-10</t>
  </si>
  <si>
    <t>Жданов Олег Семёнович</t>
  </si>
  <si>
    <t>26-32</t>
  </si>
  <si>
    <t>Родионов Анатолий Викторович</t>
  </si>
  <si>
    <t>27-2</t>
  </si>
  <si>
    <t>Коваль Андрей Анатольевич</t>
  </si>
  <si>
    <t>27-17</t>
  </si>
  <si>
    <t>Федоров Николай Александрович</t>
  </si>
  <si>
    <t>27-21</t>
  </si>
  <si>
    <t>Илюшин Александр Николаевич</t>
  </si>
  <si>
    <t>27-31</t>
  </si>
  <si>
    <t>28-1</t>
  </si>
  <si>
    <t>Рыбаков Эдуард Александрович</t>
  </si>
  <si>
    <t>28-3</t>
  </si>
  <si>
    <t>Скоробогатова Нина Ильинична</t>
  </si>
  <si>
    <t>28-12</t>
  </si>
  <si>
    <t>28-15</t>
  </si>
  <si>
    <t>Коновалов Григорий Августинович</t>
  </si>
  <si>
    <t>28-22</t>
  </si>
  <si>
    <t>Артёмцева Наталья Сергеевна</t>
  </si>
  <si>
    <t>28-23</t>
  </si>
  <si>
    <t>Жуков Сергей Алексеевич</t>
  </si>
  <si>
    <t>28-24</t>
  </si>
  <si>
    <t>Таякина Людмила Викторовна</t>
  </si>
  <si>
    <t>28-27</t>
  </si>
  <si>
    <t>Мосин Сергей Иванович</t>
  </si>
  <si>
    <t>29-1</t>
  </si>
  <si>
    <t>Вандзель Каролина Леонтьевна</t>
  </si>
  <si>
    <t>29-10</t>
  </si>
  <si>
    <t>Андриевский Александр Васильевич</t>
  </si>
  <si>
    <t>29-23</t>
  </si>
  <si>
    <t>Калашников Виктор Иванович</t>
  </si>
  <si>
    <t>30-24</t>
  </si>
  <si>
    <t>Мешкова Мария Михайловна</t>
  </si>
  <si>
    <t>30-26</t>
  </si>
  <si>
    <t>Чуварев Владимир Васильевич</t>
  </si>
  <si>
    <t>30-35</t>
  </si>
  <si>
    <t>Бадонова Софья Николаенва</t>
  </si>
  <si>
    <t>30-36</t>
  </si>
  <si>
    <t>Смирнова Валентина Васильевна</t>
  </si>
  <si>
    <t>31-16</t>
  </si>
  <si>
    <t>Мазанова Нина Александровна</t>
  </si>
  <si>
    <t>31-24</t>
  </si>
  <si>
    <t>Злотников Александр Вячеславович</t>
  </si>
  <si>
    <t>31-26</t>
  </si>
  <si>
    <t>31-40</t>
  </si>
  <si>
    <t>Ончева Евгения Алексеевна</t>
  </si>
  <si>
    <t>32-4</t>
  </si>
  <si>
    <t xml:space="preserve">Кудрявцева Галина Кузьминична </t>
  </si>
  <si>
    <t>32-7</t>
  </si>
  <si>
    <t>Рудаков Вадим Алексеевич</t>
  </si>
  <si>
    <t>32-20</t>
  </si>
  <si>
    <t>Шахтоханов Александр Лопсонович</t>
  </si>
  <si>
    <t>33-10</t>
  </si>
  <si>
    <t>Степаненко Елена Владимировна</t>
  </si>
  <si>
    <t>33-35</t>
  </si>
  <si>
    <t>Крощук  Татьяна Ивановна</t>
  </si>
  <si>
    <t>33-40</t>
  </si>
  <si>
    <t>Мишакин Леонид Петрович</t>
  </si>
  <si>
    <t>34-4</t>
  </si>
  <si>
    <t>Шатунин Игорь Владимирович</t>
  </si>
  <si>
    <t>34-12</t>
  </si>
  <si>
    <t>Смашная Галина Андреевна (34-8)</t>
  </si>
  <si>
    <t>34-16</t>
  </si>
  <si>
    <t>Шилкин Владимир Евгениьевич</t>
  </si>
  <si>
    <t>34-22</t>
  </si>
  <si>
    <t>Перфильева Валентина Григорьевна</t>
  </si>
  <si>
    <t>34-25\26</t>
  </si>
  <si>
    <t>Костылев Сергей Александрович</t>
  </si>
  <si>
    <t>35-25</t>
  </si>
  <si>
    <t>36-2</t>
  </si>
  <si>
    <t>Доженко Алексей Владиславович</t>
  </si>
  <si>
    <t>36-3</t>
  </si>
  <si>
    <t xml:space="preserve">Демина Наталия Викторовна </t>
  </si>
  <si>
    <t>24.00</t>
  </si>
  <si>
    <t>36-17</t>
  </si>
  <si>
    <t>Савватеев Евгений Георгиевич</t>
  </si>
  <si>
    <t>36-24</t>
  </si>
  <si>
    <t>Левашова Анна Ивановна</t>
  </si>
  <si>
    <t>37-7</t>
  </si>
  <si>
    <t>Карамышева Евгения  Алексеевна</t>
  </si>
  <si>
    <t>37-19</t>
  </si>
  <si>
    <t>Перевалов Сергей Васильевич (37-21)</t>
  </si>
  <si>
    <t>37-26</t>
  </si>
  <si>
    <t>Хоменко Виктор Анатольевич</t>
  </si>
  <si>
    <t>37-37</t>
  </si>
  <si>
    <t>Ильчук Елена Евгеньевна</t>
  </si>
  <si>
    <t>37-41</t>
  </si>
  <si>
    <t>Егоров Дмитрий Александрович</t>
  </si>
  <si>
    <t>38-6\8</t>
  </si>
  <si>
    <t>38-7</t>
  </si>
  <si>
    <t>Вавилова Ольга Валентиновна</t>
  </si>
  <si>
    <t>38-13</t>
  </si>
  <si>
    <t>Аскеров Абасс Абассович</t>
  </si>
  <si>
    <t>38-21</t>
  </si>
  <si>
    <t>Мальцев Александр Витальевич</t>
  </si>
  <si>
    <t>39-30</t>
  </si>
  <si>
    <t>Зинченко Валерий Валентинович</t>
  </si>
  <si>
    <t>39-36</t>
  </si>
  <si>
    <t>Хааков Георгий Вячеславович</t>
  </si>
  <si>
    <t>40-13</t>
  </si>
  <si>
    <t xml:space="preserve">Парфенов Анатолий Николаевич </t>
  </si>
  <si>
    <t>40-19</t>
  </si>
  <si>
    <t>Романов Дмитрий Владимирович</t>
  </si>
  <si>
    <t>41-13</t>
  </si>
  <si>
    <t>Корочкова Нурия Борисовна</t>
  </si>
  <si>
    <t>41-21</t>
  </si>
  <si>
    <t>Миненко Николай Николаевич</t>
  </si>
  <si>
    <t>41-38</t>
  </si>
  <si>
    <t>Волобуева Наталья Александровна</t>
  </si>
  <si>
    <t>41-40</t>
  </si>
  <si>
    <t>Попова Кристина Сергеевна</t>
  </si>
  <si>
    <t>42-2</t>
  </si>
  <si>
    <t>Шадрин Андрей Геннадьевич</t>
  </si>
  <si>
    <t>42-6</t>
  </si>
  <si>
    <t>Савинский Сергей Михайлович</t>
  </si>
  <si>
    <t>42-10</t>
  </si>
  <si>
    <t>Гостев Александр Александрович</t>
  </si>
  <si>
    <t>42-12</t>
  </si>
  <si>
    <t>Киркижова Наталья Андреевна</t>
  </si>
  <si>
    <t>42-13</t>
  </si>
  <si>
    <t>Копончук Григорий Викторович</t>
  </si>
  <si>
    <t>42-14</t>
  </si>
  <si>
    <t>Тимин Владимир Николаевич</t>
  </si>
  <si>
    <t>42-21</t>
  </si>
  <si>
    <t>Буйлова Ольга Владимировна</t>
  </si>
  <si>
    <t>42-34</t>
  </si>
  <si>
    <t>Тукка Дмитрий Дмитриевич</t>
  </si>
  <si>
    <t>43-3</t>
  </si>
  <si>
    <t>Косьмин Николай Васильевич</t>
  </si>
  <si>
    <t>43-4</t>
  </si>
  <si>
    <t>Арсентьев Иван Юрьевич</t>
  </si>
  <si>
    <t>43-5</t>
  </si>
  <si>
    <t>Букреев Сергей Владимирович</t>
  </si>
  <si>
    <t>43-7</t>
  </si>
  <si>
    <t>Ленденева Евгения Александровна</t>
  </si>
  <si>
    <t>43-17</t>
  </si>
  <si>
    <t>Иванов Денис Владимирович</t>
  </si>
  <si>
    <t>43-25</t>
  </si>
  <si>
    <t>Безмен Николай Дмитриевич</t>
  </si>
  <si>
    <t>43-29</t>
  </si>
  <si>
    <t>Медведева Яна Олеговна</t>
  </si>
  <si>
    <t>43-33</t>
  </si>
  <si>
    <t>Татаров  Василий Анатольевич</t>
  </si>
  <si>
    <t>43-38</t>
  </si>
  <si>
    <t>Жгулев Николай Петрович</t>
  </si>
  <si>
    <t>43-46</t>
  </si>
  <si>
    <t>Рогозин Василий Васильевич</t>
  </si>
  <si>
    <t>44-12</t>
  </si>
  <si>
    <t>Есин Станислав Петрович</t>
  </si>
  <si>
    <t>44-16</t>
  </si>
  <si>
    <t>Макарова Марина Георгиевна</t>
  </si>
  <si>
    <t>45-1,2</t>
  </si>
  <si>
    <t>Шипелов Евгений Семёнович</t>
  </si>
  <si>
    <t>45-3</t>
  </si>
  <si>
    <t xml:space="preserve">Тарасов Евгений Вячеславович </t>
  </si>
  <si>
    <t>45-4</t>
  </si>
  <si>
    <t>Дергачев Анатолий Викторович</t>
  </si>
  <si>
    <t>45-5</t>
  </si>
  <si>
    <t>Бородина Анна Александровна</t>
  </si>
  <si>
    <t>45-9</t>
  </si>
  <si>
    <t>Цыганкова Анна Фёдоровна</t>
  </si>
  <si>
    <t>45-11</t>
  </si>
  <si>
    <t>Шалыгин Константин Анатольевич</t>
  </si>
  <si>
    <t>45-16</t>
  </si>
  <si>
    <t>Игнатьева Зоя Григорьевна</t>
  </si>
  <si>
    <t>45-22</t>
  </si>
  <si>
    <t>Рютин Дмитрий Николаевич</t>
  </si>
  <si>
    <t>45-31</t>
  </si>
  <si>
    <t>Смальчук Валентина Сергеевна</t>
  </si>
  <si>
    <t>45-37</t>
  </si>
  <si>
    <t>Аверина Юлия Александровна</t>
  </si>
  <si>
    <t>45-40</t>
  </si>
  <si>
    <t xml:space="preserve">Дмитриев  Николай  Никандрович </t>
  </si>
  <si>
    <t>П-5</t>
  </si>
  <si>
    <t>Соловьянов Павел Евгеньевич</t>
  </si>
  <si>
    <t>П-11</t>
  </si>
  <si>
    <t>Балабанов Григорий Анатольевич</t>
  </si>
  <si>
    <t>П-25а</t>
  </si>
  <si>
    <t>Третьяков Игорь Александрович</t>
  </si>
  <si>
    <t>П-27</t>
  </si>
  <si>
    <t>Калинина Ирина Александровна</t>
  </si>
  <si>
    <t>П-35</t>
  </si>
  <si>
    <t>Бабко Нина Иннокентьевна</t>
  </si>
  <si>
    <t>П-40</t>
  </si>
  <si>
    <t xml:space="preserve">Козьмин Константин Константинович </t>
  </si>
  <si>
    <t>П-50</t>
  </si>
  <si>
    <t>Айрих Светлана Михайловна</t>
  </si>
  <si>
    <t>П-60</t>
  </si>
  <si>
    <t>Степенева Вера Михайловна</t>
  </si>
  <si>
    <t>П-61а</t>
  </si>
  <si>
    <t>Качур Игорь Петрович</t>
  </si>
  <si>
    <t>П-72</t>
  </si>
  <si>
    <t>Михайлов Михаил Владимирович</t>
  </si>
  <si>
    <t>П-77</t>
  </si>
  <si>
    <t>Мохряков Андрей Викторович</t>
  </si>
  <si>
    <t>П-80</t>
  </si>
  <si>
    <t>Гуляев Юрий Витальевич</t>
  </si>
  <si>
    <t>П-132</t>
  </si>
  <si>
    <t>Беляева Елена Евгеньевна</t>
  </si>
  <si>
    <t>П-134</t>
  </si>
  <si>
    <t>Шамов Алексей Алексеевич</t>
  </si>
  <si>
    <t>П-137</t>
  </si>
  <si>
    <t>Радзивинович Роман Владимирович</t>
  </si>
  <si>
    <t>П-140</t>
  </si>
  <si>
    <t>Харина Лариса Леонидовна</t>
  </si>
  <si>
    <t>П-162</t>
  </si>
  <si>
    <t xml:space="preserve">Казакевич Елена Андреевна </t>
  </si>
  <si>
    <t>П-174</t>
  </si>
  <si>
    <t>Клинов Анатолий Филиппович</t>
  </si>
  <si>
    <t>П-176</t>
  </si>
  <si>
    <t>Дмитриев Алексей Викторович</t>
  </si>
  <si>
    <t>П-178</t>
  </si>
  <si>
    <t>Быков Анатолий Викторович</t>
  </si>
  <si>
    <t>П-180</t>
  </si>
  <si>
    <t>Алексеева Александра Андреевна</t>
  </si>
  <si>
    <t>П-181</t>
  </si>
  <si>
    <t>Лузан Екатерина Андреевна</t>
  </si>
  <si>
    <t>П-187</t>
  </si>
  <si>
    <t xml:space="preserve">Юрченко Руслан Владимирович </t>
  </si>
  <si>
    <t>П-188</t>
  </si>
  <si>
    <t>Лосев Дмитрий Вадимович</t>
  </si>
  <si>
    <t>П-190</t>
  </si>
  <si>
    <t>Гершпигель Александр Владимирович</t>
  </si>
  <si>
    <t>П-193</t>
  </si>
  <si>
    <t>Усачев Вячеслав Николаевич</t>
  </si>
  <si>
    <t>П-200</t>
  </si>
  <si>
    <t>Зубарева Галина Николаевна</t>
  </si>
  <si>
    <t>П-201</t>
  </si>
  <si>
    <t>Ижгулин Александр Степанович</t>
  </si>
  <si>
    <t>П-202</t>
  </si>
  <si>
    <t>Фищуленко Елена  Олеговна</t>
  </si>
  <si>
    <t>П-207</t>
  </si>
  <si>
    <t>Иванов Артём Андреевич</t>
  </si>
  <si>
    <t>П-208</t>
  </si>
  <si>
    <t>Бикмухаметова Нина Васильевна</t>
  </si>
  <si>
    <t>П-210</t>
  </si>
  <si>
    <t>Никитин Виталий Геннадьевич</t>
  </si>
  <si>
    <t>П-214</t>
  </si>
  <si>
    <t>Семёнов Денис Васильевич</t>
  </si>
  <si>
    <t>П-222</t>
  </si>
  <si>
    <t>Поздняков Виталий Максимович</t>
  </si>
  <si>
    <t>П-229</t>
  </si>
  <si>
    <t>Мальцев Вячеслав Алексеевич</t>
  </si>
  <si>
    <t>П-231</t>
  </si>
  <si>
    <t xml:space="preserve">Фенюк Ян Владимирович </t>
  </si>
  <si>
    <t>П-234</t>
  </si>
  <si>
    <t>Приженников Александр Валерьевич</t>
  </si>
  <si>
    <t>П-235</t>
  </si>
  <si>
    <t>Павлюк Ирина Викторовна</t>
  </si>
  <si>
    <t>П-247</t>
  </si>
  <si>
    <t>Крюкова Елена Георгиевна</t>
  </si>
  <si>
    <t>П-255</t>
  </si>
  <si>
    <t>Кудаева Галина Степановна</t>
  </si>
  <si>
    <t>П-256</t>
  </si>
  <si>
    <t>Нипеин Александр Геннадьевич</t>
  </si>
  <si>
    <t>П-261</t>
  </si>
  <si>
    <t>Худов Дмитрий Владимирович</t>
  </si>
  <si>
    <t>П-263</t>
  </si>
  <si>
    <t>Константинов Олег Геннадьевич</t>
  </si>
  <si>
    <t>П-264</t>
  </si>
  <si>
    <t>Побежимов Виталий Владимирович</t>
  </si>
  <si>
    <t>П-271</t>
  </si>
  <si>
    <t>Сердечкин Игорь Николаевич</t>
  </si>
  <si>
    <t>П-276</t>
  </si>
  <si>
    <t>Дубинин Владимир Демьянович</t>
  </si>
  <si>
    <t>П-292</t>
  </si>
  <si>
    <t>Довгун Андрей Николаевич</t>
  </si>
  <si>
    <t>П-305</t>
  </si>
  <si>
    <t>Квит Руслан Владимирович</t>
  </si>
  <si>
    <t>П-311</t>
  </si>
  <si>
    <t>Ершов Илья Анатольевич</t>
  </si>
  <si>
    <t>П-321</t>
  </si>
  <si>
    <t>Т-10</t>
  </si>
  <si>
    <t>Бояркин Евгений Иванович</t>
  </si>
  <si>
    <t>Т-16</t>
  </si>
  <si>
    <t xml:space="preserve">Кондрашин Анатолий Платонович </t>
  </si>
  <si>
    <t>Т-21</t>
  </si>
  <si>
    <t>Гудов Юрий Петрович</t>
  </si>
  <si>
    <t>Т-23</t>
  </si>
  <si>
    <t>Копосов Владимир Геннадьевич</t>
  </si>
  <si>
    <t>Т-26</t>
  </si>
  <si>
    <t>Казимиров Андрей Владимирович</t>
  </si>
  <si>
    <t>Т-37</t>
  </si>
  <si>
    <t>Омельченко Ирина Александровна</t>
  </si>
  <si>
    <t>Т-40</t>
  </si>
  <si>
    <t>Говорин Александр Сергеевич</t>
  </si>
  <si>
    <t>Т-41</t>
  </si>
  <si>
    <t>Остапчук Сергей Николаевич</t>
  </si>
  <si>
    <t>Т-49</t>
  </si>
  <si>
    <t>Михайлова Надежда Леонидовна</t>
  </si>
  <si>
    <t>Т-53</t>
  </si>
  <si>
    <t xml:space="preserve">Довыдова Марина Игоревна </t>
  </si>
  <si>
    <t>Т-55</t>
  </si>
  <si>
    <t xml:space="preserve">Королев Сергей Евгеньевич </t>
  </si>
  <si>
    <t>Т-59</t>
  </si>
  <si>
    <t xml:space="preserve">Нефедьев Олег Владимирович </t>
  </si>
  <si>
    <t>оплаты</t>
  </si>
  <si>
    <t>взносы 2018</t>
  </si>
  <si>
    <t>взносы 2019</t>
  </si>
  <si>
    <t>итого на 31.12.2019</t>
  </si>
  <si>
    <t>отчет на 30.04.20</t>
  </si>
  <si>
    <t>разница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</si>
</sst>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32" x14ac:knownFonts="1"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b/>
      <sz val="8"/>
      <color indexed="8"/>
      <name val="Times New Roman"/>
      <charset val="204"/>
    </font>
    <font>
      <b/>
      <sz val="8"/>
      <color indexed="14"/>
      <name val="Times New Roman"/>
      <charset val="204"/>
    </font>
    <font>
      <sz val="12"/>
      <color indexed="8"/>
      <name val="Times New Roman"/>
      <charset val="204"/>
    </font>
    <font>
      <b/>
      <sz val="12"/>
      <color indexed="8"/>
      <name val="Times New Roman"/>
      <charset val="204"/>
    </font>
    <font>
      <sz val="11"/>
      <color indexed="8"/>
      <name val="Calibri"/>
      <charset val="204"/>
    </font>
    <font>
      <b/>
      <sz val="11"/>
      <color indexed="8"/>
      <name val="Calibri"/>
      <charset val="204"/>
    </font>
    <font>
      <b/>
      <sz val="10"/>
      <name val="Times New Roman"/>
      <charset val="204"/>
    </font>
    <font>
      <b/>
      <sz val="10"/>
      <color indexed="8"/>
      <name val="Times New Roman"/>
      <charset val="204"/>
    </font>
    <font>
      <b/>
      <sz val="10"/>
      <color indexed="14"/>
      <name val="Times New Roman"/>
      <charset val="204"/>
    </font>
    <font>
      <b/>
      <sz val="11"/>
      <color indexed="8"/>
      <name val="Calibri"/>
      <family val="2"/>
      <charset val="204"/>
    </font>
    <font>
      <b/>
      <sz val="8"/>
      <name val="Arial Cyr"/>
      <charset val="204"/>
    </font>
    <font>
      <b/>
      <sz val="8"/>
      <color indexed="8"/>
      <name val="Arial Cyr"/>
      <charset val="204"/>
    </font>
    <font>
      <b/>
      <sz val="8"/>
      <color indexed="10"/>
      <name val="Arial Cyr"/>
      <charset val="204"/>
    </font>
    <font>
      <sz val="12"/>
      <color indexed="8"/>
      <name val="Calibri"/>
      <charset val="204"/>
    </font>
    <font>
      <b/>
      <sz val="12"/>
      <color indexed="8"/>
      <name val="Calibri"/>
      <charset val="204"/>
    </font>
    <font>
      <b/>
      <sz val="8"/>
      <color indexed="12"/>
      <name val="Arial Cyr"/>
      <charset val="204"/>
    </font>
    <font>
      <sz val="10"/>
      <color indexed="8"/>
      <name val="Arial"/>
      <charset val="204"/>
    </font>
    <font>
      <b/>
      <sz val="8"/>
      <color indexed="8"/>
      <name val="Arial"/>
      <charset val="204"/>
    </font>
    <font>
      <b/>
      <sz val="8"/>
      <color indexed="14"/>
      <name val="Arial Cyr"/>
      <charset val="204"/>
    </font>
    <font>
      <b/>
      <sz val="8"/>
      <color indexed="21"/>
      <name val="Arial Cyr"/>
      <charset val="204"/>
    </font>
    <font>
      <b/>
      <sz val="8"/>
      <color indexed="30"/>
      <name val="Arial Cyr"/>
      <charset val="204"/>
    </font>
    <font>
      <sz val="12"/>
      <color indexed="12"/>
      <name val="Calibri"/>
      <charset val="204"/>
    </font>
    <font>
      <b/>
      <sz val="12"/>
      <color indexed="12"/>
      <name val="Times New Roman"/>
      <charset val="204"/>
    </font>
    <font>
      <b/>
      <sz val="12"/>
      <color indexed="12"/>
      <name val="Calibri"/>
      <charset val="204"/>
    </font>
    <font>
      <sz val="11"/>
      <color indexed="12"/>
      <name val="Calibri"/>
      <charset val="204"/>
    </font>
    <font>
      <b/>
      <sz val="12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8"/>
      <color indexed="8"/>
      <name val="Arial"/>
      <family val="2"/>
      <charset val="204"/>
    </font>
    <font>
      <b/>
      <sz val="11"/>
      <color indexed="8"/>
      <name val="Times New Roman"/>
      <charset val="204"/>
    </font>
    <font>
      <sz val="11"/>
      <color indexed="8"/>
      <name val="Calibri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13"/>
      </patternFill>
    </fill>
    <fill>
      <patternFill patternType="solid">
        <fgColor indexed="9"/>
        <bgColor indexed="50"/>
      </patternFill>
    </fill>
    <fill>
      <patternFill patternType="solid">
        <fgColor indexed="50"/>
        <bgColor indexed="50"/>
      </patternFill>
    </fill>
    <fill>
      <patternFill patternType="solid">
        <fgColor indexed="45"/>
        <bgColor indexed="45"/>
      </patternFill>
    </fill>
    <fill>
      <patternFill patternType="solid">
        <fgColor indexed="43"/>
        <bgColor indexed="43"/>
      </patternFill>
    </fill>
    <fill>
      <patternFill patternType="solid">
        <fgColor indexed="13"/>
        <bgColor indexed="43"/>
      </patternFill>
    </fill>
    <fill>
      <patternFill patternType="solid">
        <fgColor indexed="9"/>
        <bgColor indexed="9"/>
      </patternFill>
    </fill>
    <fill>
      <patternFill patternType="solid">
        <fgColor indexed="29"/>
        <bgColor indexed="29"/>
      </patternFill>
    </fill>
    <fill>
      <patternFill patternType="solid">
        <fgColor indexed="42"/>
        <bgColor indexed="29"/>
      </patternFill>
    </fill>
    <fill>
      <patternFill patternType="solid">
        <fgColor indexed="13"/>
        <bgColor indexed="29"/>
      </patternFill>
    </fill>
    <fill>
      <patternFill patternType="solid">
        <fgColor indexed="45"/>
        <bgColor indexed="29"/>
      </patternFill>
    </fill>
    <fill>
      <patternFill patternType="solid">
        <fgColor indexed="9"/>
        <bgColor indexed="29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center"/>
    </xf>
    <xf numFmtId="2" fontId="2" fillId="3" borderId="1" xfId="0" applyNumberFormat="1" applyFont="1" applyFill="1" applyBorder="1" applyAlignment="1" applyProtection="1">
      <alignment horizontal="center" wrapText="1"/>
    </xf>
    <xf numFmtId="2" fontId="2" fillId="0" borderId="0" xfId="0" applyNumberFormat="1" applyFont="1" applyFill="1" applyBorder="1" applyAlignment="1" applyProtection="1">
      <alignment horizontal="center" wrapText="1"/>
    </xf>
    <xf numFmtId="0" fontId="4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/>
    </xf>
    <xf numFmtId="0" fontId="6" fillId="0" borderId="0" xfId="0" applyFont="1"/>
    <xf numFmtId="0" fontId="7" fillId="0" borderId="0" xfId="0" applyFont="1"/>
    <xf numFmtId="0" fontId="8" fillId="4" borderId="2" xfId="0" applyNumberFormat="1" applyFont="1" applyFill="1" applyBorder="1" applyAlignment="1" applyProtection="1">
      <alignment horizontal="center" wrapText="1" shrinkToFit="1"/>
    </xf>
    <xf numFmtId="0" fontId="9" fillId="5" borderId="2" xfId="0" applyNumberFormat="1" applyFont="1" applyFill="1" applyBorder="1" applyAlignment="1" applyProtection="1">
      <alignment horizontal="left" wrapText="1"/>
    </xf>
    <xf numFmtId="1" fontId="10" fillId="5" borderId="2" xfId="0" applyNumberFormat="1" applyFont="1" applyFill="1" applyBorder="1" applyAlignment="1" applyProtection="1">
      <alignment horizontal="center" vertical="center"/>
    </xf>
    <xf numFmtId="0" fontId="5" fillId="5" borderId="2" xfId="0" applyNumberFormat="1" applyFont="1" applyFill="1" applyBorder="1" applyAlignment="1" applyProtection="1">
      <alignment horizontal="center"/>
    </xf>
    <xf numFmtId="0" fontId="5" fillId="6" borderId="2" xfId="0" applyNumberFormat="1" applyFont="1" applyFill="1" applyBorder="1" applyAlignment="1" applyProtection="1">
      <alignment horizontal="center"/>
    </xf>
    <xf numFmtId="2" fontId="9" fillId="5" borderId="2" xfId="0" applyNumberFormat="1" applyFont="1" applyFill="1" applyBorder="1" applyAlignment="1" applyProtection="1">
      <alignment horizontal="center" vertical="center" wrapText="1"/>
    </xf>
    <xf numFmtId="0" fontId="5" fillId="5" borderId="3" xfId="0" applyNumberFormat="1" applyFont="1" applyFill="1" applyBorder="1" applyAlignment="1" applyProtection="1">
      <alignment horizontal="center"/>
    </xf>
    <xf numFmtId="0" fontId="5" fillId="5" borderId="4" xfId="0" applyNumberFormat="1" applyFont="1" applyFill="1" applyBorder="1" applyAlignment="1" applyProtection="1">
      <alignment horizontal="center"/>
    </xf>
    <xf numFmtId="0" fontId="5" fillId="6" borderId="5" xfId="0" applyNumberFormat="1" applyFont="1" applyFill="1" applyBorder="1" applyAlignment="1" applyProtection="1">
      <alignment horizontal="center"/>
    </xf>
    <xf numFmtId="0" fontId="5" fillId="6" borderId="6" xfId="0" applyNumberFormat="1" applyFont="1" applyFill="1" applyBorder="1" applyAlignment="1" applyProtection="1">
      <alignment horizontal="center"/>
    </xf>
    <xf numFmtId="0" fontId="0" fillId="0" borderId="2" xfId="0" applyBorder="1"/>
    <xf numFmtId="0" fontId="7" fillId="7" borderId="2" xfId="0" applyNumberFormat="1" applyFont="1" applyFill="1" applyBorder="1" applyAlignment="1" applyProtection="1">
      <alignment horizontal="center"/>
    </xf>
    <xf numFmtId="0" fontId="11" fillId="8" borderId="2" xfId="0" applyNumberFormat="1" applyFont="1" applyFill="1" applyBorder="1" applyAlignment="1" applyProtection="1">
      <alignment horizontal="center"/>
    </xf>
    <xf numFmtId="0" fontId="0" fillId="0" borderId="2" xfId="0" applyBorder="1" applyAlignment="1">
      <alignment horizontal="center"/>
    </xf>
    <xf numFmtId="49" fontId="12" fillId="2" borderId="7" xfId="0" applyNumberFormat="1" applyFont="1" applyFill="1" applyBorder="1" applyAlignment="1" applyProtection="1">
      <alignment horizontal="center" vertical="center"/>
    </xf>
    <xf numFmtId="0" fontId="13" fillId="0" borderId="2" xfId="0" applyNumberFormat="1" applyFont="1" applyFill="1" applyBorder="1" applyAlignment="1" applyProtection="1">
      <alignment horizontal="left" wrapText="1"/>
    </xf>
    <xf numFmtId="1" fontId="14" fillId="0" borderId="2" xfId="0" applyNumberFormat="1" applyFont="1" applyFill="1" applyBorder="1" applyAlignment="1" applyProtection="1">
      <alignment horizontal="center" wrapText="1"/>
    </xf>
    <xf numFmtId="2" fontId="13" fillId="0" borderId="2" xfId="0" applyNumberFormat="1" applyFont="1" applyFill="1" applyBorder="1" applyAlignment="1" applyProtection="1">
      <alignment horizontal="center" wrapText="1"/>
    </xf>
    <xf numFmtId="2" fontId="13" fillId="9" borderId="2" xfId="0" applyNumberFormat="1" applyFont="1" applyFill="1" applyBorder="1" applyAlignment="1" applyProtection="1">
      <alignment horizontal="center"/>
    </xf>
    <xf numFmtId="3" fontId="15" fillId="0" borderId="3" xfId="0" applyNumberFormat="1" applyFont="1" applyFill="1" applyBorder="1" applyAlignment="1" applyProtection="1">
      <alignment horizontal="right"/>
    </xf>
    <xf numFmtId="0" fontId="15" fillId="0" borderId="4" xfId="0" applyNumberFormat="1" applyFont="1" applyFill="1" applyBorder="1" applyAlignment="1" applyProtection="1">
      <alignment horizontal="center"/>
    </xf>
    <xf numFmtId="0" fontId="5" fillId="6" borderId="7" xfId="0" applyNumberFormat="1" applyFont="1" applyFill="1" applyBorder="1" applyAlignment="1" applyProtection="1">
      <alignment horizontal="center"/>
    </xf>
    <xf numFmtId="0" fontId="16" fillId="6" borderId="3" xfId="0" applyNumberFormat="1" applyFont="1" applyFill="1" applyBorder="1" applyAlignment="1" applyProtection="1">
      <alignment horizontal="center"/>
    </xf>
    <xf numFmtId="3" fontId="6" fillId="0" borderId="2" xfId="0" applyNumberFormat="1" applyFont="1" applyFill="1" applyBorder="1" applyAlignment="1" applyProtection="1">
      <alignment horizontal="right"/>
    </xf>
    <xf numFmtId="3" fontId="7" fillId="0" borderId="2" xfId="0" applyNumberFormat="1" applyFont="1" applyBorder="1"/>
    <xf numFmtId="1" fontId="17" fillId="0" borderId="2" xfId="0" applyNumberFormat="1" applyFont="1" applyFill="1" applyBorder="1" applyAlignment="1" applyProtection="1">
      <alignment horizontal="center" wrapText="1"/>
    </xf>
    <xf numFmtId="3" fontId="18" fillId="0" borderId="2" xfId="0" applyNumberFormat="1" applyFont="1" applyFill="1" applyBorder="1" applyAlignment="1" applyProtection="1"/>
    <xf numFmtId="0" fontId="19" fillId="0" borderId="2" xfId="0" applyNumberFormat="1" applyFont="1" applyFill="1" applyBorder="1" applyAlignment="1" applyProtection="1">
      <alignment horizontal="left" wrapText="1"/>
    </xf>
    <xf numFmtId="49" fontId="13" fillId="0" borderId="2" xfId="0" applyNumberFormat="1" applyFont="1" applyFill="1" applyBorder="1" applyAlignment="1" applyProtection="1">
      <alignment horizontal="left" wrapText="1"/>
    </xf>
    <xf numFmtId="3" fontId="15" fillId="0" borderId="8" xfId="0" applyNumberFormat="1" applyFont="1" applyFill="1" applyBorder="1" applyAlignment="1" applyProtection="1">
      <alignment horizontal="right"/>
    </xf>
    <xf numFmtId="0" fontId="13" fillId="0" borderId="9" xfId="0" applyNumberFormat="1" applyFont="1" applyFill="1" applyBorder="1" applyAlignment="1" applyProtection="1">
      <alignment horizontal="left" wrapText="1"/>
    </xf>
    <xf numFmtId="1" fontId="14" fillId="0" borderId="9" xfId="0" applyNumberFormat="1" applyFont="1" applyFill="1" applyBorder="1" applyAlignment="1" applyProtection="1">
      <alignment horizontal="center" wrapText="1"/>
    </xf>
    <xf numFmtId="2" fontId="13" fillId="0" borderId="9" xfId="0" applyNumberFormat="1" applyFont="1" applyFill="1" applyBorder="1" applyAlignment="1" applyProtection="1">
      <alignment horizontal="center" wrapText="1"/>
    </xf>
    <xf numFmtId="2" fontId="13" fillId="9" borderId="9" xfId="0" applyNumberFormat="1" applyFont="1" applyFill="1" applyBorder="1" applyAlignment="1" applyProtection="1">
      <alignment horizontal="center"/>
    </xf>
    <xf numFmtId="0" fontId="15" fillId="0" borderId="10" xfId="0" applyNumberFormat="1" applyFont="1" applyFill="1" applyBorder="1" applyAlignment="1" applyProtection="1">
      <alignment horizontal="center"/>
    </xf>
    <xf numFmtId="0" fontId="5" fillId="6" borderId="11" xfId="0" applyNumberFormat="1" applyFont="1" applyFill="1" applyBorder="1" applyAlignment="1" applyProtection="1">
      <alignment horizontal="center"/>
    </xf>
    <xf numFmtId="0" fontId="16" fillId="6" borderId="8" xfId="0" applyNumberFormat="1" applyFont="1" applyFill="1" applyBorder="1" applyAlignment="1" applyProtection="1">
      <alignment horizontal="center"/>
    </xf>
    <xf numFmtId="0" fontId="13" fillId="0" borderId="12" xfId="0" applyNumberFormat="1" applyFont="1" applyFill="1" applyBorder="1" applyAlignment="1" applyProtection="1">
      <alignment horizontal="left" wrapText="1"/>
    </xf>
    <xf numFmtId="1" fontId="14" fillId="0" borderId="12" xfId="0" applyNumberFormat="1" applyFont="1" applyFill="1" applyBorder="1" applyAlignment="1" applyProtection="1">
      <alignment horizontal="center" wrapText="1"/>
    </xf>
    <xf numFmtId="2" fontId="13" fillId="0" borderId="12" xfId="0" applyNumberFormat="1" applyFont="1" applyFill="1" applyBorder="1" applyAlignment="1" applyProtection="1">
      <alignment horizontal="center" wrapText="1"/>
    </xf>
    <xf numFmtId="2" fontId="13" fillId="9" borderId="12" xfId="0" applyNumberFormat="1" applyFont="1" applyFill="1" applyBorder="1" applyAlignment="1" applyProtection="1">
      <alignment horizontal="center"/>
    </xf>
    <xf numFmtId="3" fontId="15" fillId="0" borderId="13" xfId="0" applyNumberFormat="1" applyFont="1" applyFill="1" applyBorder="1" applyAlignment="1" applyProtection="1">
      <alignment horizontal="right"/>
    </xf>
    <xf numFmtId="0" fontId="15" fillId="0" borderId="14" xfId="0" applyNumberFormat="1" applyFont="1" applyFill="1" applyBorder="1" applyAlignment="1" applyProtection="1">
      <alignment horizontal="center"/>
    </xf>
    <xf numFmtId="0" fontId="16" fillId="6" borderId="6" xfId="0" applyNumberFormat="1" applyFont="1" applyFill="1" applyBorder="1" applyAlignment="1" applyProtection="1">
      <alignment horizontal="center"/>
    </xf>
    <xf numFmtId="1" fontId="20" fillId="0" borderId="2" xfId="0" applyNumberFormat="1" applyFont="1" applyFill="1" applyBorder="1" applyAlignment="1" applyProtection="1">
      <alignment horizontal="center" wrapText="1"/>
    </xf>
    <xf numFmtId="1" fontId="20" fillId="0" borderId="12" xfId="0" applyNumberFormat="1" applyFont="1" applyFill="1" applyBorder="1" applyAlignment="1" applyProtection="1">
      <alignment horizontal="center" wrapText="1"/>
    </xf>
    <xf numFmtId="1" fontId="20" fillId="0" borderId="9" xfId="0" applyNumberFormat="1" applyFont="1" applyFill="1" applyBorder="1" applyAlignment="1" applyProtection="1">
      <alignment horizontal="center" wrapText="1"/>
    </xf>
    <xf numFmtId="0" fontId="19" fillId="9" borderId="2" xfId="0" applyNumberFormat="1" applyFont="1" applyFill="1" applyBorder="1" applyAlignment="1" applyProtection="1">
      <alignment horizontal="left" vertical="center" wrapText="1"/>
    </xf>
    <xf numFmtId="0" fontId="20" fillId="0" borderId="2" xfId="0" applyNumberFormat="1" applyFont="1" applyFill="1" applyBorder="1" applyAlignment="1" applyProtection="1">
      <alignment horizontal="center" wrapText="1"/>
    </xf>
    <xf numFmtId="1" fontId="21" fillId="9" borderId="2" xfId="0" applyNumberFormat="1" applyFont="1" applyFill="1" applyBorder="1" applyAlignment="1" applyProtection="1">
      <alignment horizontal="center"/>
    </xf>
    <xf numFmtId="0" fontId="17" fillId="0" borderId="2" xfId="0" applyNumberFormat="1" applyFont="1" applyFill="1" applyBorder="1" applyAlignment="1" applyProtection="1">
      <alignment horizontal="center" wrapText="1"/>
    </xf>
    <xf numFmtId="0" fontId="22" fillId="0" borderId="2" xfId="0" applyNumberFormat="1" applyFont="1" applyFill="1" applyBorder="1" applyAlignment="1" applyProtection="1">
      <alignment horizontal="center" wrapText="1"/>
    </xf>
    <xf numFmtId="0" fontId="13" fillId="0" borderId="2" xfId="0" applyNumberFormat="1" applyFont="1" applyFill="1" applyBorder="1" applyAlignment="1" applyProtection="1">
      <alignment horizontal="center" wrapText="1"/>
    </xf>
    <xf numFmtId="0" fontId="17" fillId="0" borderId="9" xfId="0" applyNumberFormat="1" applyFont="1" applyFill="1" applyBorder="1" applyAlignment="1" applyProtection="1">
      <alignment horizontal="center" wrapText="1"/>
    </xf>
    <xf numFmtId="3" fontId="15" fillId="0" borderId="2" xfId="0" applyNumberFormat="1" applyFont="1" applyFill="1" applyBorder="1" applyAlignment="1" applyProtection="1">
      <alignment horizontal="right"/>
    </xf>
    <xf numFmtId="0" fontId="15" fillId="0" borderId="2" xfId="0" applyNumberFormat="1" applyFont="1" applyFill="1" applyBorder="1" applyAlignment="1" applyProtection="1">
      <alignment horizontal="center"/>
    </xf>
    <xf numFmtId="3" fontId="23" fillId="0" borderId="8" xfId="0" applyNumberFormat="1" applyFont="1" applyFill="1" applyBorder="1" applyAlignment="1" applyProtection="1">
      <alignment horizontal="right"/>
    </xf>
    <xf numFmtId="0" fontId="23" fillId="0" borderId="4" xfId="0" applyNumberFormat="1" applyFont="1" applyFill="1" applyBorder="1" applyAlignment="1" applyProtection="1">
      <alignment horizontal="center"/>
    </xf>
    <xf numFmtId="0" fontId="24" fillId="6" borderId="7" xfId="0" applyNumberFormat="1" applyFont="1" applyFill="1" applyBorder="1" applyAlignment="1" applyProtection="1">
      <alignment horizontal="center"/>
    </xf>
    <xf numFmtId="0" fontId="25" fillId="6" borderId="3" xfId="0" applyNumberFormat="1" applyFont="1" applyFill="1" applyBorder="1" applyAlignment="1" applyProtection="1">
      <alignment horizontal="center"/>
    </xf>
    <xf numFmtId="0" fontId="26" fillId="0" borderId="2" xfId="0" applyNumberFormat="1" applyFont="1" applyFill="1" applyBorder="1" applyAlignment="1" applyProtection="1"/>
    <xf numFmtId="0" fontId="26" fillId="0" borderId="0" xfId="0" applyNumberFormat="1" applyFont="1" applyFill="1" applyBorder="1" applyAlignment="1" applyProtection="1"/>
    <xf numFmtId="0" fontId="27" fillId="0" borderId="4" xfId="0" applyNumberFormat="1" applyFont="1" applyFill="1" applyBorder="1" applyAlignment="1" applyProtection="1">
      <alignment horizontal="center"/>
    </xf>
    <xf numFmtId="0" fontId="28" fillId="6" borderId="7" xfId="0" applyNumberFormat="1" applyFont="1" applyFill="1" applyBorder="1" applyAlignment="1" applyProtection="1">
      <alignment horizontal="center"/>
    </xf>
    <xf numFmtId="0" fontId="29" fillId="0" borderId="2" xfId="0" applyNumberFormat="1" applyFont="1" applyFill="1" applyBorder="1" applyAlignment="1" applyProtection="1">
      <alignment horizontal="left" wrapText="1"/>
    </xf>
    <xf numFmtId="0" fontId="7" fillId="0" borderId="15" xfId="0" applyNumberFormat="1" applyFont="1" applyFill="1" applyBorder="1" applyAlignment="1" applyProtection="1"/>
    <xf numFmtId="49" fontId="12" fillId="2" borderId="16" xfId="0" applyNumberFormat="1" applyFont="1" applyFill="1" applyBorder="1" applyAlignment="1" applyProtection="1">
      <alignment horizontal="center" vertical="center"/>
    </xf>
    <xf numFmtId="0" fontId="13" fillId="0" borderId="17" xfId="0" applyNumberFormat="1" applyFont="1" applyFill="1" applyBorder="1" applyAlignment="1" applyProtection="1">
      <alignment horizontal="left" wrapText="1"/>
    </xf>
    <xf numFmtId="1" fontId="21" fillId="0" borderId="17" xfId="0" applyNumberFormat="1" applyFont="1" applyFill="1" applyBorder="1" applyAlignment="1" applyProtection="1">
      <alignment horizontal="center" wrapText="1"/>
    </xf>
    <xf numFmtId="2" fontId="13" fillId="0" borderId="17" xfId="0" applyNumberFormat="1" applyFont="1" applyFill="1" applyBorder="1" applyAlignment="1" applyProtection="1">
      <alignment horizontal="center" wrapText="1"/>
    </xf>
    <xf numFmtId="164" fontId="5" fillId="0" borderId="18" xfId="0" applyNumberFormat="1" applyFont="1" applyFill="1" applyBorder="1" applyAlignment="1" applyProtection="1">
      <alignment horizontal="center"/>
    </xf>
    <xf numFmtId="164" fontId="5" fillId="0" borderId="19" xfId="0" applyNumberFormat="1" applyFont="1" applyFill="1" applyBorder="1" applyAlignment="1" applyProtection="1">
      <alignment horizontal="center"/>
    </xf>
    <xf numFmtId="164" fontId="5" fillId="10" borderId="16" xfId="0" applyNumberFormat="1" applyFont="1" applyFill="1" applyBorder="1" applyAlignment="1" applyProtection="1">
      <alignment horizontal="center"/>
    </xf>
    <xf numFmtId="164" fontId="5" fillId="10" borderId="18" xfId="0" applyNumberFormat="1" applyFont="1" applyFill="1" applyBorder="1" applyAlignment="1" applyProtection="1">
      <alignment horizontal="center"/>
    </xf>
    <xf numFmtId="164" fontId="30" fillId="11" borderId="20" xfId="0" applyNumberFormat="1" applyFont="1" applyFill="1" applyBorder="1" applyAlignment="1" applyProtection="1">
      <alignment horizontal="center"/>
    </xf>
    <xf numFmtId="164" fontId="30" fillId="12" borderId="20" xfId="0" applyNumberFormat="1" applyFont="1" applyFill="1" applyBorder="1" applyAlignment="1" applyProtection="1">
      <alignment horizontal="center"/>
    </xf>
    <xf numFmtId="164" fontId="30" fillId="13" borderId="20" xfId="0" applyNumberFormat="1" applyFont="1" applyFill="1" applyBorder="1" applyAlignment="1" applyProtection="1">
      <alignment horizontal="center"/>
    </xf>
    <xf numFmtId="164" fontId="30" fillId="14" borderId="2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/>
    <xf numFmtId="0" fontId="12" fillId="2" borderId="0" xfId="0" applyNumberFormat="1" applyFont="1" applyFill="1" applyBorder="1" applyAlignment="1" applyProtection="1">
      <alignment horizontal="center"/>
    </xf>
    <xf numFmtId="0" fontId="13" fillId="0" borderId="0" xfId="0" applyNumberFormat="1" applyFont="1" applyFill="1" applyBorder="1" applyAlignment="1" applyProtection="1">
      <alignment horizontal="left" wrapText="1"/>
    </xf>
    <xf numFmtId="1" fontId="20" fillId="0" borderId="0" xfId="0" applyNumberFormat="1" applyFont="1" applyFill="1" applyBorder="1" applyAlignment="1" applyProtection="1">
      <alignment horizontal="center"/>
    </xf>
    <xf numFmtId="2" fontId="13" fillId="0" borderId="0" xfId="0" applyNumberFormat="1" applyFont="1" applyFill="1" applyBorder="1" applyAlignment="1" applyProtection="1">
      <alignment horizontal="center" wrapText="1"/>
    </xf>
    <xf numFmtId="0" fontId="3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NumberFormat="1" applyFont="1" applyFill="1" applyBorder="1" applyAlignment="1" applyProtection="1">
      <alignment horizontal="right"/>
    </xf>
    <xf numFmtId="0" fontId="15" fillId="0" borderId="0" xfId="0" applyNumberFormat="1" applyFont="1" applyFill="1" applyBorder="1" applyAlignment="1" applyProtection="1">
      <alignment horizontal="center"/>
    </xf>
    <xf numFmtId="0" fontId="16" fillId="0" borderId="0" xfId="0" applyNumberFormat="1" applyFont="1" applyFill="1" applyBorder="1" applyAlignment="1" applyProtection="1">
      <alignment horizontal="center"/>
    </xf>
    <xf numFmtId="0" fontId="9" fillId="5" borderId="2" xfId="0" applyNumberFormat="1" applyFont="1" applyFill="1" applyBorder="1" applyAlignment="1" applyProtection="1">
      <alignment horizontal="center" vertical="center" wrapText="1"/>
    </xf>
    <xf numFmtId="0" fontId="15" fillId="0" borderId="21" xfId="0" applyNumberFormat="1" applyFont="1" applyFill="1" applyBorder="1" applyAlignment="1" applyProtection="1">
      <alignment horizontal="center"/>
    </xf>
    <xf numFmtId="0" fontId="6" fillId="0" borderId="0" xfId="0" applyFont="1" applyAlignment="1">
      <alignment horizontal="right"/>
    </xf>
    <xf numFmtId="16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3"/>
  <sheetViews>
    <sheetView tabSelected="1" workbookViewId="0">
      <selection activeCell="C4" sqref="C4"/>
    </sheetView>
  </sheetViews>
  <sheetFormatPr defaultRowHeight="15.75" x14ac:dyDescent="0.25"/>
  <cols>
    <col min="1" max="1" width="4.7109375" customWidth="1"/>
    <col min="2" max="2" width="10.28515625" style="90" customWidth="1"/>
    <col min="3" max="3" width="28.7109375" style="91" customWidth="1"/>
    <col min="4" max="4" width="10.140625" style="92" hidden="1" customWidth="1"/>
    <col min="5" max="5" width="13.42578125" style="93" hidden="1" customWidth="1"/>
    <col min="6" max="6" width="7.7109375" style="93" hidden="1" customWidth="1"/>
    <col min="7" max="7" width="15.5703125" style="96" hidden="1" customWidth="1"/>
    <col min="8" max="8" width="15.5703125" style="97" hidden="1" customWidth="1"/>
    <col min="9" max="9" width="15.5703125" style="8" hidden="1" customWidth="1"/>
    <col min="10" max="10" width="15.5703125" style="98" hidden="1" customWidth="1"/>
    <col min="11" max="11" width="17.140625" customWidth="1"/>
    <col min="12" max="12" width="15.7109375" style="9" customWidth="1"/>
    <col min="13" max="13" width="14.85546875" style="9" customWidth="1"/>
    <col min="14" max="14" width="15.7109375" style="9" customWidth="1"/>
    <col min="15" max="15" width="19" style="10" customWidth="1"/>
    <col min="16" max="16" width="12.140625" customWidth="1"/>
    <col min="257" max="257" width="4.7109375" customWidth="1"/>
    <col min="258" max="258" width="10.28515625" customWidth="1"/>
    <col min="259" max="259" width="28.7109375" customWidth="1"/>
    <col min="260" max="266" width="0" hidden="1" customWidth="1"/>
    <col min="267" max="267" width="17.140625" customWidth="1"/>
    <col min="268" max="268" width="15.7109375" customWidth="1"/>
    <col min="269" max="269" width="14.85546875" customWidth="1"/>
    <col min="270" max="270" width="15.7109375" customWidth="1"/>
    <col min="271" max="271" width="19" customWidth="1"/>
    <col min="272" max="272" width="12.140625" customWidth="1"/>
    <col min="513" max="513" width="4.7109375" customWidth="1"/>
    <col min="514" max="514" width="10.28515625" customWidth="1"/>
    <col min="515" max="515" width="28.7109375" customWidth="1"/>
    <col min="516" max="522" width="0" hidden="1" customWidth="1"/>
    <col min="523" max="523" width="17.140625" customWidth="1"/>
    <col min="524" max="524" width="15.7109375" customWidth="1"/>
    <col min="525" max="525" width="14.85546875" customWidth="1"/>
    <col min="526" max="526" width="15.7109375" customWidth="1"/>
    <col min="527" max="527" width="19" customWidth="1"/>
    <col min="528" max="528" width="12.140625" customWidth="1"/>
    <col min="769" max="769" width="4.7109375" customWidth="1"/>
    <col min="770" max="770" width="10.28515625" customWidth="1"/>
    <col min="771" max="771" width="28.7109375" customWidth="1"/>
    <col min="772" max="778" width="0" hidden="1" customWidth="1"/>
    <col min="779" max="779" width="17.140625" customWidth="1"/>
    <col min="780" max="780" width="15.7109375" customWidth="1"/>
    <col min="781" max="781" width="14.85546875" customWidth="1"/>
    <col min="782" max="782" width="15.7109375" customWidth="1"/>
    <col min="783" max="783" width="19" customWidth="1"/>
    <col min="784" max="784" width="12.140625" customWidth="1"/>
    <col min="1025" max="1025" width="4.7109375" customWidth="1"/>
    <col min="1026" max="1026" width="10.28515625" customWidth="1"/>
    <col min="1027" max="1027" width="28.7109375" customWidth="1"/>
    <col min="1028" max="1034" width="0" hidden="1" customWidth="1"/>
    <col min="1035" max="1035" width="17.140625" customWidth="1"/>
    <col min="1036" max="1036" width="15.7109375" customWidth="1"/>
    <col min="1037" max="1037" width="14.85546875" customWidth="1"/>
    <col min="1038" max="1038" width="15.7109375" customWidth="1"/>
    <col min="1039" max="1039" width="19" customWidth="1"/>
    <col min="1040" max="1040" width="12.140625" customWidth="1"/>
    <col min="1281" max="1281" width="4.7109375" customWidth="1"/>
    <col min="1282" max="1282" width="10.28515625" customWidth="1"/>
    <col min="1283" max="1283" width="28.7109375" customWidth="1"/>
    <col min="1284" max="1290" width="0" hidden="1" customWidth="1"/>
    <col min="1291" max="1291" width="17.140625" customWidth="1"/>
    <col min="1292" max="1292" width="15.7109375" customWidth="1"/>
    <col min="1293" max="1293" width="14.85546875" customWidth="1"/>
    <col min="1294" max="1294" width="15.7109375" customWidth="1"/>
    <col min="1295" max="1295" width="19" customWidth="1"/>
    <col min="1296" max="1296" width="12.140625" customWidth="1"/>
    <col min="1537" max="1537" width="4.7109375" customWidth="1"/>
    <col min="1538" max="1538" width="10.28515625" customWidth="1"/>
    <col min="1539" max="1539" width="28.7109375" customWidth="1"/>
    <col min="1540" max="1546" width="0" hidden="1" customWidth="1"/>
    <col min="1547" max="1547" width="17.140625" customWidth="1"/>
    <col min="1548" max="1548" width="15.7109375" customWidth="1"/>
    <col min="1549" max="1549" width="14.85546875" customWidth="1"/>
    <col min="1550" max="1550" width="15.7109375" customWidth="1"/>
    <col min="1551" max="1551" width="19" customWidth="1"/>
    <col min="1552" max="1552" width="12.140625" customWidth="1"/>
    <col min="1793" max="1793" width="4.7109375" customWidth="1"/>
    <col min="1794" max="1794" width="10.28515625" customWidth="1"/>
    <col min="1795" max="1795" width="28.7109375" customWidth="1"/>
    <col min="1796" max="1802" width="0" hidden="1" customWidth="1"/>
    <col min="1803" max="1803" width="17.140625" customWidth="1"/>
    <col min="1804" max="1804" width="15.7109375" customWidth="1"/>
    <col min="1805" max="1805" width="14.85546875" customWidth="1"/>
    <col min="1806" max="1806" width="15.7109375" customWidth="1"/>
    <col min="1807" max="1807" width="19" customWidth="1"/>
    <col min="1808" max="1808" width="12.140625" customWidth="1"/>
    <col min="2049" max="2049" width="4.7109375" customWidth="1"/>
    <col min="2050" max="2050" width="10.28515625" customWidth="1"/>
    <col min="2051" max="2051" width="28.7109375" customWidth="1"/>
    <col min="2052" max="2058" width="0" hidden="1" customWidth="1"/>
    <col min="2059" max="2059" width="17.140625" customWidth="1"/>
    <col min="2060" max="2060" width="15.7109375" customWidth="1"/>
    <col min="2061" max="2061" width="14.85546875" customWidth="1"/>
    <col min="2062" max="2062" width="15.7109375" customWidth="1"/>
    <col min="2063" max="2063" width="19" customWidth="1"/>
    <col min="2064" max="2064" width="12.140625" customWidth="1"/>
    <col min="2305" max="2305" width="4.7109375" customWidth="1"/>
    <col min="2306" max="2306" width="10.28515625" customWidth="1"/>
    <col min="2307" max="2307" width="28.7109375" customWidth="1"/>
    <col min="2308" max="2314" width="0" hidden="1" customWidth="1"/>
    <col min="2315" max="2315" width="17.140625" customWidth="1"/>
    <col min="2316" max="2316" width="15.7109375" customWidth="1"/>
    <col min="2317" max="2317" width="14.85546875" customWidth="1"/>
    <col min="2318" max="2318" width="15.7109375" customWidth="1"/>
    <col min="2319" max="2319" width="19" customWidth="1"/>
    <col min="2320" max="2320" width="12.140625" customWidth="1"/>
    <col min="2561" max="2561" width="4.7109375" customWidth="1"/>
    <col min="2562" max="2562" width="10.28515625" customWidth="1"/>
    <col min="2563" max="2563" width="28.7109375" customWidth="1"/>
    <col min="2564" max="2570" width="0" hidden="1" customWidth="1"/>
    <col min="2571" max="2571" width="17.140625" customWidth="1"/>
    <col min="2572" max="2572" width="15.7109375" customWidth="1"/>
    <col min="2573" max="2573" width="14.85546875" customWidth="1"/>
    <col min="2574" max="2574" width="15.7109375" customWidth="1"/>
    <col min="2575" max="2575" width="19" customWidth="1"/>
    <col min="2576" max="2576" width="12.140625" customWidth="1"/>
    <col min="2817" max="2817" width="4.7109375" customWidth="1"/>
    <col min="2818" max="2818" width="10.28515625" customWidth="1"/>
    <col min="2819" max="2819" width="28.7109375" customWidth="1"/>
    <col min="2820" max="2826" width="0" hidden="1" customWidth="1"/>
    <col min="2827" max="2827" width="17.140625" customWidth="1"/>
    <col min="2828" max="2828" width="15.7109375" customWidth="1"/>
    <col min="2829" max="2829" width="14.85546875" customWidth="1"/>
    <col min="2830" max="2830" width="15.7109375" customWidth="1"/>
    <col min="2831" max="2831" width="19" customWidth="1"/>
    <col min="2832" max="2832" width="12.140625" customWidth="1"/>
    <col min="3073" max="3073" width="4.7109375" customWidth="1"/>
    <col min="3074" max="3074" width="10.28515625" customWidth="1"/>
    <col min="3075" max="3075" width="28.7109375" customWidth="1"/>
    <col min="3076" max="3082" width="0" hidden="1" customWidth="1"/>
    <col min="3083" max="3083" width="17.140625" customWidth="1"/>
    <col min="3084" max="3084" width="15.7109375" customWidth="1"/>
    <col min="3085" max="3085" width="14.85546875" customWidth="1"/>
    <col min="3086" max="3086" width="15.7109375" customWidth="1"/>
    <col min="3087" max="3087" width="19" customWidth="1"/>
    <col min="3088" max="3088" width="12.140625" customWidth="1"/>
    <col min="3329" max="3329" width="4.7109375" customWidth="1"/>
    <col min="3330" max="3330" width="10.28515625" customWidth="1"/>
    <col min="3331" max="3331" width="28.7109375" customWidth="1"/>
    <col min="3332" max="3338" width="0" hidden="1" customWidth="1"/>
    <col min="3339" max="3339" width="17.140625" customWidth="1"/>
    <col min="3340" max="3340" width="15.7109375" customWidth="1"/>
    <col min="3341" max="3341" width="14.85546875" customWidth="1"/>
    <col min="3342" max="3342" width="15.7109375" customWidth="1"/>
    <col min="3343" max="3343" width="19" customWidth="1"/>
    <col min="3344" max="3344" width="12.140625" customWidth="1"/>
    <col min="3585" max="3585" width="4.7109375" customWidth="1"/>
    <col min="3586" max="3586" width="10.28515625" customWidth="1"/>
    <col min="3587" max="3587" width="28.7109375" customWidth="1"/>
    <col min="3588" max="3594" width="0" hidden="1" customWidth="1"/>
    <col min="3595" max="3595" width="17.140625" customWidth="1"/>
    <col min="3596" max="3596" width="15.7109375" customWidth="1"/>
    <col min="3597" max="3597" width="14.85546875" customWidth="1"/>
    <col min="3598" max="3598" width="15.7109375" customWidth="1"/>
    <col min="3599" max="3599" width="19" customWidth="1"/>
    <col min="3600" max="3600" width="12.140625" customWidth="1"/>
    <col min="3841" max="3841" width="4.7109375" customWidth="1"/>
    <col min="3842" max="3842" width="10.28515625" customWidth="1"/>
    <col min="3843" max="3843" width="28.7109375" customWidth="1"/>
    <col min="3844" max="3850" width="0" hidden="1" customWidth="1"/>
    <col min="3851" max="3851" width="17.140625" customWidth="1"/>
    <col min="3852" max="3852" width="15.7109375" customWidth="1"/>
    <col min="3853" max="3853" width="14.85546875" customWidth="1"/>
    <col min="3854" max="3854" width="15.7109375" customWidth="1"/>
    <col min="3855" max="3855" width="19" customWidth="1"/>
    <col min="3856" max="3856" width="12.140625" customWidth="1"/>
    <col min="4097" max="4097" width="4.7109375" customWidth="1"/>
    <col min="4098" max="4098" width="10.28515625" customWidth="1"/>
    <col min="4099" max="4099" width="28.7109375" customWidth="1"/>
    <col min="4100" max="4106" width="0" hidden="1" customWidth="1"/>
    <col min="4107" max="4107" width="17.140625" customWidth="1"/>
    <col min="4108" max="4108" width="15.7109375" customWidth="1"/>
    <col min="4109" max="4109" width="14.85546875" customWidth="1"/>
    <col min="4110" max="4110" width="15.7109375" customWidth="1"/>
    <col min="4111" max="4111" width="19" customWidth="1"/>
    <col min="4112" max="4112" width="12.140625" customWidth="1"/>
    <col min="4353" max="4353" width="4.7109375" customWidth="1"/>
    <col min="4354" max="4354" width="10.28515625" customWidth="1"/>
    <col min="4355" max="4355" width="28.7109375" customWidth="1"/>
    <col min="4356" max="4362" width="0" hidden="1" customWidth="1"/>
    <col min="4363" max="4363" width="17.140625" customWidth="1"/>
    <col min="4364" max="4364" width="15.7109375" customWidth="1"/>
    <col min="4365" max="4365" width="14.85546875" customWidth="1"/>
    <col min="4366" max="4366" width="15.7109375" customWidth="1"/>
    <col min="4367" max="4367" width="19" customWidth="1"/>
    <col min="4368" max="4368" width="12.140625" customWidth="1"/>
    <col min="4609" max="4609" width="4.7109375" customWidth="1"/>
    <col min="4610" max="4610" width="10.28515625" customWidth="1"/>
    <col min="4611" max="4611" width="28.7109375" customWidth="1"/>
    <col min="4612" max="4618" width="0" hidden="1" customWidth="1"/>
    <col min="4619" max="4619" width="17.140625" customWidth="1"/>
    <col min="4620" max="4620" width="15.7109375" customWidth="1"/>
    <col min="4621" max="4621" width="14.85546875" customWidth="1"/>
    <col min="4622" max="4622" width="15.7109375" customWidth="1"/>
    <col min="4623" max="4623" width="19" customWidth="1"/>
    <col min="4624" max="4624" width="12.140625" customWidth="1"/>
    <col min="4865" max="4865" width="4.7109375" customWidth="1"/>
    <col min="4866" max="4866" width="10.28515625" customWidth="1"/>
    <col min="4867" max="4867" width="28.7109375" customWidth="1"/>
    <col min="4868" max="4874" width="0" hidden="1" customWidth="1"/>
    <col min="4875" max="4875" width="17.140625" customWidth="1"/>
    <col min="4876" max="4876" width="15.7109375" customWidth="1"/>
    <col min="4877" max="4877" width="14.85546875" customWidth="1"/>
    <col min="4878" max="4878" width="15.7109375" customWidth="1"/>
    <col min="4879" max="4879" width="19" customWidth="1"/>
    <col min="4880" max="4880" width="12.140625" customWidth="1"/>
    <col min="5121" max="5121" width="4.7109375" customWidth="1"/>
    <col min="5122" max="5122" width="10.28515625" customWidth="1"/>
    <col min="5123" max="5123" width="28.7109375" customWidth="1"/>
    <col min="5124" max="5130" width="0" hidden="1" customWidth="1"/>
    <col min="5131" max="5131" width="17.140625" customWidth="1"/>
    <col min="5132" max="5132" width="15.7109375" customWidth="1"/>
    <col min="5133" max="5133" width="14.85546875" customWidth="1"/>
    <col min="5134" max="5134" width="15.7109375" customWidth="1"/>
    <col min="5135" max="5135" width="19" customWidth="1"/>
    <col min="5136" max="5136" width="12.140625" customWidth="1"/>
    <col min="5377" max="5377" width="4.7109375" customWidth="1"/>
    <col min="5378" max="5378" width="10.28515625" customWidth="1"/>
    <col min="5379" max="5379" width="28.7109375" customWidth="1"/>
    <col min="5380" max="5386" width="0" hidden="1" customWidth="1"/>
    <col min="5387" max="5387" width="17.140625" customWidth="1"/>
    <col min="5388" max="5388" width="15.7109375" customWidth="1"/>
    <col min="5389" max="5389" width="14.85546875" customWidth="1"/>
    <col min="5390" max="5390" width="15.7109375" customWidth="1"/>
    <col min="5391" max="5391" width="19" customWidth="1"/>
    <col min="5392" max="5392" width="12.140625" customWidth="1"/>
    <col min="5633" max="5633" width="4.7109375" customWidth="1"/>
    <col min="5634" max="5634" width="10.28515625" customWidth="1"/>
    <col min="5635" max="5635" width="28.7109375" customWidth="1"/>
    <col min="5636" max="5642" width="0" hidden="1" customWidth="1"/>
    <col min="5643" max="5643" width="17.140625" customWidth="1"/>
    <col min="5644" max="5644" width="15.7109375" customWidth="1"/>
    <col min="5645" max="5645" width="14.85546875" customWidth="1"/>
    <col min="5646" max="5646" width="15.7109375" customWidth="1"/>
    <col min="5647" max="5647" width="19" customWidth="1"/>
    <col min="5648" max="5648" width="12.140625" customWidth="1"/>
    <col min="5889" max="5889" width="4.7109375" customWidth="1"/>
    <col min="5890" max="5890" width="10.28515625" customWidth="1"/>
    <col min="5891" max="5891" width="28.7109375" customWidth="1"/>
    <col min="5892" max="5898" width="0" hidden="1" customWidth="1"/>
    <col min="5899" max="5899" width="17.140625" customWidth="1"/>
    <col min="5900" max="5900" width="15.7109375" customWidth="1"/>
    <col min="5901" max="5901" width="14.85546875" customWidth="1"/>
    <col min="5902" max="5902" width="15.7109375" customWidth="1"/>
    <col min="5903" max="5903" width="19" customWidth="1"/>
    <col min="5904" max="5904" width="12.140625" customWidth="1"/>
    <col min="6145" max="6145" width="4.7109375" customWidth="1"/>
    <col min="6146" max="6146" width="10.28515625" customWidth="1"/>
    <col min="6147" max="6147" width="28.7109375" customWidth="1"/>
    <col min="6148" max="6154" width="0" hidden="1" customWidth="1"/>
    <col min="6155" max="6155" width="17.140625" customWidth="1"/>
    <col min="6156" max="6156" width="15.7109375" customWidth="1"/>
    <col min="6157" max="6157" width="14.85546875" customWidth="1"/>
    <col min="6158" max="6158" width="15.7109375" customWidth="1"/>
    <col min="6159" max="6159" width="19" customWidth="1"/>
    <col min="6160" max="6160" width="12.140625" customWidth="1"/>
    <col min="6401" max="6401" width="4.7109375" customWidth="1"/>
    <col min="6402" max="6402" width="10.28515625" customWidth="1"/>
    <col min="6403" max="6403" width="28.7109375" customWidth="1"/>
    <col min="6404" max="6410" width="0" hidden="1" customWidth="1"/>
    <col min="6411" max="6411" width="17.140625" customWidth="1"/>
    <col min="6412" max="6412" width="15.7109375" customWidth="1"/>
    <col min="6413" max="6413" width="14.85546875" customWidth="1"/>
    <col min="6414" max="6414" width="15.7109375" customWidth="1"/>
    <col min="6415" max="6415" width="19" customWidth="1"/>
    <col min="6416" max="6416" width="12.140625" customWidth="1"/>
    <col min="6657" max="6657" width="4.7109375" customWidth="1"/>
    <col min="6658" max="6658" width="10.28515625" customWidth="1"/>
    <col min="6659" max="6659" width="28.7109375" customWidth="1"/>
    <col min="6660" max="6666" width="0" hidden="1" customWidth="1"/>
    <col min="6667" max="6667" width="17.140625" customWidth="1"/>
    <col min="6668" max="6668" width="15.7109375" customWidth="1"/>
    <col min="6669" max="6669" width="14.85546875" customWidth="1"/>
    <col min="6670" max="6670" width="15.7109375" customWidth="1"/>
    <col min="6671" max="6671" width="19" customWidth="1"/>
    <col min="6672" max="6672" width="12.140625" customWidth="1"/>
    <col min="6913" max="6913" width="4.7109375" customWidth="1"/>
    <col min="6914" max="6914" width="10.28515625" customWidth="1"/>
    <col min="6915" max="6915" width="28.7109375" customWidth="1"/>
    <col min="6916" max="6922" width="0" hidden="1" customWidth="1"/>
    <col min="6923" max="6923" width="17.140625" customWidth="1"/>
    <col min="6924" max="6924" width="15.7109375" customWidth="1"/>
    <col min="6925" max="6925" width="14.85546875" customWidth="1"/>
    <col min="6926" max="6926" width="15.7109375" customWidth="1"/>
    <col min="6927" max="6927" width="19" customWidth="1"/>
    <col min="6928" max="6928" width="12.140625" customWidth="1"/>
    <col min="7169" max="7169" width="4.7109375" customWidth="1"/>
    <col min="7170" max="7170" width="10.28515625" customWidth="1"/>
    <col min="7171" max="7171" width="28.7109375" customWidth="1"/>
    <col min="7172" max="7178" width="0" hidden="1" customWidth="1"/>
    <col min="7179" max="7179" width="17.140625" customWidth="1"/>
    <col min="7180" max="7180" width="15.7109375" customWidth="1"/>
    <col min="7181" max="7181" width="14.85546875" customWidth="1"/>
    <col min="7182" max="7182" width="15.7109375" customWidth="1"/>
    <col min="7183" max="7183" width="19" customWidth="1"/>
    <col min="7184" max="7184" width="12.140625" customWidth="1"/>
    <col min="7425" max="7425" width="4.7109375" customWidth="1"/>
    <col min="7426" max="7426" width="10.28515625" customWidth="1"/>
    <col min="7427" max="7427" width="28.7109375" customWidth="1"/>
    <col min="7428" max="7434" width="0" hidden="1" customWidth="1"/>
    <col min="7435" max="7435" width="17.140625" customWidth="1"/>
    <col min="7436" max="7436" width="15.7109375" customWidth="1"/>
    <col min="7437" max="7437" width="14.85546875" customWidth="1"/>
    <col min="7438" max="7438" width="15.7109375" customWidth="1"/>
    <col min="7439" max="7439" width="19" customWidth="1"/>
    <col min="7440" max="7440" width="12.140625" customWidth="1"/>
    <col min="7681" max="7681" width="4.7109375" customWidth="1"/>
    <col min="7682" max="7682" width="10.28515625" customWidth="1"/>
    <col min="7683" max="7683" width="28.7109375" customWidth="1"/>
    <col min="7684" max="7690" width="0" hidden="1" customWidth="1"/>
    <col min="7691" max="7691" width="17.140625" customWidth="1"/>
    <col min="7692" max="7692" width="15.7109375" customWidth="1"/>
    <col min="7693" max="7693" width="14.85546875" customWidth="1"/>
    <col min="7694" max="7694" width="15.7109375" customWidth="1"/>
    <col min="7695" max="7695" width="19" customWidth="1"/>
    <col min="7696" max="7696" width="12.140625" customWidth="1"/>
    <col min="7937" max="7937" width="4.7109375" customWidth="1"/>
    <col min="7938" max="7938" width="10.28515625" customWidth="1"/>
    <col min="7939" max="7939" width="28.7109375" customWidth="1"/>
    <col min="7940" max="7946" width="0" hidden="1" customWidth="1"/>
    <col min="7947" max="7947" width="17.140625" customWidth="1"/>
    <col min="7948" max="7948" width="15.7109375" customWidth="1"/>
    <col min="7949" max="7949" width="14.85546875" customWidth="1"/>
    <col min="7950" max="7950" width="15.7109375" customWidth="1"/>
    <col min="7951" max="7951" width="19" customWidth="1"/>
    <col min="7952" max="7952" width="12.140625" customWidth="1"/>
    <col min="8193" max="8193" width="4.7109375" customWidth="1"/>
    <col min="8194" max="8194" width="10.28515625" customWidth="1"/>
    <col min="8195" max="8195" width="28.7109375" customWidth="1"/>
    <col min="8196" max="8202" width="0" hidden="1" customWidth="1"/>
    <col min="8203" max="8203" width="17.140625" customWidth="1"/>
    <col min="8204" max="8204" width="15.7109375" customWidth="1"/>
    <col min="8205" max="8205" width="14.85546875" customWidth="1"/>
    <col min="8206" max="8206" width="15.7109375" customWidth="1"/>
    <col min="8207" max="8207" width="19" customWidth="1"/>
    <col min="8208" max="8208" width="12.140625" customWidth="1"/>
    <col min="8449" max="8449" width="4.7109375" customWidth="1"/>
    <col min="8450" max="8450" width="10.28515625" customWidth="1"/>
    <col min="8451" max="8451" width="28.7109375" customWidth="1"/>
    <col min="8452" max="8458" width="0" hidden="1" customWidth="1"/>
    <col min="8459" max="8459" width="17.140625" customWidth="1"/>
    <col min="8460" max="8460" width="15.7109375" customWidth="1"/>
    <col min="8461" max="8461" width="14.85546875" customWidth="1"/>
    <col min="8462" max="8462" width="15.7109375" customWidth="1"/>
    <col min="8463" max="8463" width="19" customWidth="1"/>
    <col min="8464" max="8464" width="12.140625" customWidth="1"/>
    <col min="8705" max="8705" width="4.7109375" customWidth="1"/>
    <col min="8706" max="8706" width="10.28515625" customWidth="1"/>
    <col min="8707" max="8707" width="28.7109375" customWidth="1"/>
    <col min="8708" max="8714" width="0" hidden="1" customWidth="1"/>
    <col min="8715" max="8715" width="17.140625" customWidth="1"/>
    <col min="8716" max="8716" width="15.7109375" customWidth="1"/>
    <col min="8717" max="8717" width="14.85546875" customWidth="1"/>
    <col min="8718" max="8718" width="15.7109375" customWidth="1"/>
    <col min="8719" max="8719" width="19" customWidth="1"/>
    <col min="8720" max="8720" width="12.140625" customWidth="1"/>
    <col min="8961" max="8961" width="4.7109375" customWidth="1"/>
    <col min="8962" max="8962" width="10.28515625" customWidth="1"/>
    <col min="8963" max="8963" width="28.7109375" customWidth="1"/>
    <col min="8964" max="8970" width="0" hidden="1" customWidth="1"/>
    <col min="8971" max="8971" width="17.140625" customWidth="1"/>
    <col min="8972" max="8972" width="15.7109375" customWidth="1"/>
    <col min="8973" max="8973" width="14.85546875" customWidth="1"/>
    <col min="8974" max="8974" width="15.7109375" customWidth="1"/>
    <col min="8975" max="8975" width="19" customWidth="1"/>
    <col min="8976" max="8976" width="12.140625" customWidth="1"/>
    <col min="9217" max="9217" width="4.7109375" customWidth="1"/>
    <col min="9218" max="9218" width="10.28515625" customWidth="1"/>
    <col min="9219" max="9219" width="28.7109375" customWidth="1"/>
    <col min="9220" max="9226" width="0" hidden="1" customWidth="1"/>
    <col min="9227" max="9227" width="17.140625" customWidth="1"/>
    <col min="9228" max="9228" width="15.7109375" customWidth="1"/>
    <col min="9229" max="9229" width="14.85546875" customWidth="1"/>
    <col min="9230" max="9230" width="15.7109375" customWidth="1"/>
    <col min="9231" max="9231" width="19" customWidth="1"/>
    <col min="9232" max="9232" width="12.140625" customWidth="1"/>
    <col min="9473" max="9473" width="4.7109375" customWidth="1"/>
    <col min="9474" max="9474" width="10.28515625" customWidth="1"/>
    <col min="9475" max="9475" width="28.7109375" customWidth="1"/>
    <col min="9476" max="9482" width="0" hidden="1" customWidth="1"/>
    <col min="9483" max="9483" width="17.140625" customWidth="1"/>
    <col min="9484" max="9484" width="15.7109375" customWidth="1"/>
    <col min="9485" max="9485" width="14.85546875" customWidth="1"/>
    <col min="9486" max="9486" width="15.7109375" customWidth="1"/>
    <col min="9487" max="9487" width="19" customWidth="1"/>
    <col min="9488" max="9488" width="12.140625" customWidth="1"/>
    <col min="9729" max="9729" width="4.7109375" customWidth="1"/>
    <col min="9730" max="9730" width="10.28515625" customWidth="1"/>
    <col min="9731" max="9731" width="28.7109375" customWidth="1"/>
    <col min="9732" max="9738" width="0" hidden="1" customWidth="1"/>
    <col min="9739" max="9739" width="17.140625" customWidth="1"/>
    <col min="9740" max="9740" width="15.7109375" customWidth="1"/>
    <col min="9741" max="9741" width="14.85546875" customWidth="1"/>
    <col min="9742" max="9742" width="15.7109375" customWidth="1"/>
    <col min="9743" max="9743" width="19" customWidth="1"/>
    <col min="9744" max="9744" width="12.140625" customWidth="1"/>
    <col min="9985" max="9985" width="4.7109375" customWidth="1"/>
    <col min="9986" max="9986" width="10.28515625" customWidth="1"/>
    <col min="9987" max="9987" width="28.7109375" customWidth="1"/>
    <col min="9988" max="9994" width="0" hidden="1" customWidth="1"/>
    <col min="9995" max="9995" width="17.140625" customWidth="1"/>
    <col min="9996" max="9996" width="15.7109375" customWidth="1"/>
    <col min="9997" max="9997" width="14.85546875" customWidth="1"/>
    <col min="9998" max="9998" width="15.7109375" customWidth="1"/>
    <col min="9999" max="9999" width="19" customWidth="1"/>
    <col min="10000" max="10000" width="12.140625" customWidth="1"/>
    <col min="10241" max="10241" width="4.7109375" customWidth="1"/>
    <col min="10242" max="10242" width="10.28515625" customWidth="1"/>
    <col min="10243" max="10243" width="28.7109375" customWidth="1"/>
    <col min="10244" max="10250" width="0" hidden="1" customWidth="1"/>
    <col min="10251" max="10251" width="17.140625" customWidth="1"/>
    <col min="10252" max="10252" width="15.7109375" customWidth="1"/>
    <col min="10253" max="10253" width="14.85546875" customWidth="1"/>
    <col min="10254" max="10254" width="15.7109375" customWidth="1"/>
    <col min="10255" max="10255" width="19" customWidth="1"/>
    <col min="10256" max="10256" width="12.140625" customWidth="1"/>
    <col min="10497" max="10497" width="4.7109375" customWidth="1"/>
    <col min="10498" max="10498" width="10.28515625" customWidth="1"/>
    <col min="10499" max="10499" width="28.7109375" customWidth="1"/>
    <col min="10500" max="10506" width="0" hidden="1" customWidth="1"/>
    <col min="10507" max="10507" width="17.140625" customWidth="1"/>
    <col min="10508" max="10508" width="15.7109375" customWidth="1"/>
    <col min="10509" max="10509" width="14.85546875" customWidth="1"/>
    <col min="10510" max="10510" width="15.7109375" customWidth="1"/>
    <col min="10511" max="10511" width="19" customWidth="1"/>
    <col min="10512" max="10512" width="12.140625" customWidth="1"/>
    <col min="10753" max="10753" width="4.7109375" customWidth="1"/>
    <col min="10754" max="10754" width="10.28515625" customWidth="1"/>
    <col min="10755" max="10755" width="28.7109375" customWidth="1"/>
    <col min="10756" max="10762" width="0" hidden="1" customWidth="1"/>
    <col min="10763" max="10763" width="17.140625" customWidth="1"/>
    <col min="10764" max="10764" width="15.7109375" customWidth="1"/>
    <col min="10765" max="10765" width="14.85546875" customWidth="1"/>
    <col min="10766" max="10766" width="15.7109375" customWidth="1"/>
    <col min="10767" max="10767" width="19" customWidth="1"/>
    <col min="10768" max="10768" width="12.140625" customWidth="1"/>
    <col min="11009" max="11009" width="4.7109375" customWidth="1"/>
    <col min="11010" max="11010" width="10.28515625" customWidth="1"/>
    <col min="11011" max="11011" width="28.7109375" customWidth="1"/>
    <col min="11012" max="11018" width="0" hidden="1" customWidth="1"/>
    <col min="11019" max="11019" width="17.140625" customWidth="1"/>
    <col min="11020" max="11020" width="15.7109375" customWidth="1"/>
    <col min="11021" max="11021" width="14.85546875" customWidth="1"/>
    <col min="11022" max="11022" width="15.7109375" customWidth="1"/>
    <col min="11023" max="11023" width="19" customWidth="1"/>
    <col min="11024" max="11024" width="12.140625" customWidth="1"/>
    <col min="11265" max="11265" width="4.7109375" customWidth="1"/>
    <col min="11266" max="11266" width="10.28515625" customWidth="1"/>
    <col min="11267" max="11267" width="28.7109375" customWidth="1"/>
    <col min="11268" max="11274" width="0" hidden="1" customWidth="1"/>
    <col min="11275" max="11275" width="17.140625" customWidth="1"/>
    <col min="11276" max="11276" width="15.7109375" customWidth="1"/>
    <col min="11277" max="11277" width="14.85546875" customWidth="1"/>
    <col min="11278" max="11278" width="15.7109375" customWidth="1"/>
    <col min="11279" max="11279" width="19" customWidth="1"/>
    <col min="11280" max="11280" width="12.140625" customWidth="1"/>
    <col min="11521" max="11521" width="4.7109375" customWidth="1"/>
    <col min="11522" max="11522" width="10.28515625" customWidth="1"/>
    <col min="11523" max="11523" width="28.7109375" customWidth="1"/>
    <col min="11524" max="11530" width="0" hidden="1" customWidth="1"/>
    <col min="11531" max="11531" width="17.140625" customWidth="1"/>
    <col min="11532" max="11532" width="15.7109375" customWidth="1"/>
    <col min="11533" max="11533" width="14.85546875" customWidth="1"/>
    <col min="11534" max="11534" width="15.7109375" customWidth="1"/>
    <col min="11535" max="11535" width="19" customWidth="1"/>
    <col min="11536" max="11536" width="12.140625" customWidth="1"/>
    <col min="11777" max="11777" width="4.7109375" customWidth="1"/>
    <col min="11778" max="11778" width="10.28515625" customWidth="1"/>
    <col min="11779" max="11779" width="28.7109375" customWidth="1"/>
    <col min="11780" max="11786" width="0" hidden="1" customWidth="1"/>
    <col min="11787" max="11787" width="17.140625" customWidth="1"/>
    <col min="11788" max="11788" width="15.7109375" customWidth="1"/>
    <col min="11789" max="11789" width="14.85546875" customWidth="1"/>
    <col min="11790" max="11790" width="15.7109375" customWidth="1"/>
    <col min="11791" max="11791" width="19" customWidth="1"/>
    <col min="11792" max="11792" width="12.140625" customWidth="1"/>
    <col min="12033" max="12033" width="4.7109375" customWidth="1"/>
    <col min="12034" max="12034" width="10.28515625" customWidth="1"/>
    <col min="12035" max="12035" width="28.7109375" customWidth="1"/>
    <col min="12036" max="12042" width="0" hidden="1" customWidth="1"/>
    <col min="12043" max="12043" width="17.140625" customWidth="1"/>
    <col min="12044" max="12044" width="15.7109375" customWidth="1"/>
    <col min="12045" max="12045" width="14.85546875" customWidth="1"/>
    <col min="12046" max="12046" width="15.7109375" customWidth="1"/>
    <col min="12047" max="12047" width="19" customWidth="1"/>
    <col min="12048" max="12048" width="12.140625" customWidth="1"/>
    <col min="12289" max="12289" width="4.7109375" customWidth="1"/>
    <col min="12290" max="12290" width="10.28515625" customWidth="1"/>
    <col min="12291" max="12291" width="28.7109375" customWidth="1"/>
    <col min="12292" max="12298" width="0" hidden="1" customWidth="1"/>
    <col min="12299" max="12299" width="17.140625" customWidth="1"/>
    <col min="12300" max="12300" width="15.7109375" customWidth="1"/>
    <col min="12301" max="12301" width="14.85546875" customWidth="1"/>
    <col min="12302" max="12302" width="15.7109375" customWidth="1"/>
    <col min="12303" max="12303" width="19" customWidth="1"/>
    <col min="12304" max="12304" width="12.140625" customWidth="1"/>
    <col min="12545" max="12545" width="4.7109375" customWidth="1"/>
    <col min="12546" max="12546" width="10.28515625" customWidth="1"/>
    <col min="12547" max="12547" width="28.7109375" customWidth="1"/>
    <col min="12548" max="12554" width="0" hidden="1" customWidth="1"/>
    <col min="12555" max="12555" width="17.140625" customWidth="1"/>
    <col min="12556" max="12556" width="15.7109375" customWidth="1"/>
    <col min="12557" max="12557" width="14.85546875" customWidth="1"/>
    <col min="12558" max="12558" width="15.7109375" customWidth="1"/>
    <col min="12559" max="12559" width="19" customWidth="1"/>
    <col min="12560" max="12560" width="12.140625" customWidth="1"/>
    <col min="12801" max="12801" width="4.7109375" customWidth="1"/>
    <col min="12802" max="12802" width="10.28515625" customWidth="1"/>
    <col min="12803" max="12803" width="28.7109375" customWidth="1"/>
    <col min="12804" max="12810" width="0" hidden="1" customWidth="1"/>
    <col min="12811" max="12811" width="17.140625" customWidth="1"/>
    <col min="12812" max="12812" width="15.7109375" customWidth="1"/>
    <col min="12813" max="12813" width="14.85546875" customWidth="1"/>
    <col min="12814" max="12814" width="15.7109375" customWidth="1"/>
    <col min="12815" max="12815" width="19" customWidth="1"/>
    <col min="12816" max="12816" width="12.140625" customWidth="1"/>
    <col min="13057" max="13057" width="4.7109375" customWidth="1"/>
    <col min="13058" max="13058" width="10.28515625" customWidth="1"/>
    <col min="13059" max="13059" width="28.7109375" customWidth="1"/>
    <col min="13060" max="13066" width="0" hidden="1" customWidth="1"/>
    <col min="13067" max="13067" width="17.140625" customWidth="1"/>
    <col min="13068" max="13068" width="15.7109375" customWidth="1"/>
    <col min="13069" max="13069" width="14.85546875" customWidth="1"/>
    <col min="13070" max="13070" width="15.7109375" customWidth="1"/>
    <col min="13071" max="13071" width="19" customWidth="1"/>
    <col min="13072" max="13072" width="12.140625" customWidth="1"/>
    <col min="13313" max="13313" width="4.7109375" customWidth="1"/>
    <col min="13314" max="13314" width="10.28515625" customWidth="1"/>
    <col min="13315" max="13315" width="28.7109375" customWidth="1"/>
    <col min="13316" max="13322" width="0" hidden="1" customWidth="1"/>
    <col min="13323" max="13323" width="17.140625" customWidth="1"/>
    <col min="13324" max="13324" width="15.7109375" customWidth="1"/>
    <col min="13325" max="13325" width="14.85546875" customWidth="1"/>
    <col min="13326" max="13326" width="15.7109375" customWidth="1"/>
    <col min="13327" max="13327" width="19" customWidth="1"/>
    <col min="13328" max="13328" width="12.140625" customWidth="1"/>
    <col min="13569" max="13569" width="4.7109375" customWidth="1"/>
    <col min="13570" max="13570" width="10.28515625" customWidth="1"/>
    <col min="13571" max="13571" width="28.7109375" customWidth="1"/>
    <col min="13572" max="13578" width="0" hidden="1" customWidth="1"/>
    <col min="13579" max="13579" width="17.140625" customWidth="1"/>
    <col min="13580" max="13580" width="15.7109375" customWidth="1"/>
    <col min="13581" max="13581" width="14.85546875" customWidth="1"/>
    <col min="13582" max="13582" width="15.7109375" customWidth="1"/>
    <col min="13583" max="13583" width="19" customWidth="1"/>
    <col min="13584" max="13584" width="12.140625" customWidth="1"/>
    <col min="13825" max="13825" width="4.7109375" customWidth="1"/>
    <col min="13826" max="13826" width="10.28515625" customWidth="1"/>
    <col min="13827" max="13827" width="28.7109375" customWidth="1"/>
    <col min="13828" max="13834" width="0" hidden="1" customWidth="1"/>
    <col min="13835" max="13835" width="17.140625" customWidth="1"/>
    <col min="13836" max="13836" width="15.7109375" customWidth="1"/>
    <col min="13837" max="13837" width="14.85546875" customWidth="1"/>
    <col min="13838" max="13838" width="15.7109375" customWidth="1"/>
    <col min="13839" max="13839" width="19" customWidth="1"/>
    <col min="13840" max="13840" width="12.140625" customWidth="1"/>
    <col min="14081" max="14081" width="4.7109375" customWidth="1"/>
    <col min="14082" max="14082" width="10.28515625" customWidth="1"/>
    <col min="14083" max="14083" width="28.7109375" customWidth="1"/>
    <col min="14084" max="14090" width="0" hidden="1" customWidth="1"/>
    <col min="14091" max="14091" width="17.140625" customWidth="1"/>
    <col min="14092" max="14092" width="15.7109375" customWidth="1"/>
    <col min="14093" max="14093" width="14.85546875" customWidth="1"/>
    <col min="14094" max="14094" width="15.7109375" customWidth="1"/>
    <col min="14095" max="14095" width="19" customWidth="1"/>
    <col min="14096" max="14096" width="12.140625" customWidth="1"/>
    <col min="14337" max="14337" width="4.7109375" customWidth="1"/>
    <col min="14338" max="14338" width="10.28515625" customWidth="1"/>
    <col min="14339" max="14339" width="28.7109375" customWidth="1"/>
    <col min="14340" max="14346" width="0" hidden="1" customWidth="1"/>
    <col min="14347" max="14347" width="17.140625" customWidth="1"/>
    <col min="14348" max="14348" width="15.7109375" customWidth="1"/>
    <col min="14349" max="14349" width="14.85546875" customWidth="1"/>
    <col min="14350" max="14350" width="15.7109375" customWidth="1"/>
    <col min="14351" max="14351" width="19" customWidth="1"/>
    <col min="14352" max="14352" width="12.140625" customWidth="1"/>
    <col min="14593" max="14593" width="4.7109375" customWidth="1"/>
    <col min="14594" max="14594" width="10.28515625" customWidth="1"/>
    <col min="14595" max="14595" width="28.7109375" customWidth="1"/>
    <col min="14596" max="14602" width="0" hidden="1" customWidth="1"/>
    <col min="14603" max="14603" width="17.140625" customWidth="1"/>
    <col min="14604" max="14604" width="15.7109375" customWidth="1"/>
    <col min="14605" max="14605" width="14.85546875" customWidth="1"/>
    <col min="14606" max="14606" width="15.7109375" customWidth="1"/>
    <col min="14607" max="14607" width="19" customWidth="1"/>
    <col min="14608" max="14608" width="12.140625" customWidth="1"/>
    <col min="14849" max="14849" width="4.7109375" customWidth="1"/>
    <col min="14850" max="14850" width="10.28515625" customWidth="1"/>
    <col min="14851" max="14851" width="28.7109375" customWidth="1"/>
    <col min="14852" max="14858" width="0" hidden="1" customWidth="1"/>
    <col min="14859" max="14859" width="17.140625" customWidth="1"/>
    <col min="14860" max="14860" width="15.7109375" customWidth="1"/>
    <col min="14861" max="14861" width="14.85546875" customWidth="1"/>
    <col min="14862" max="14862" width="15.7109375" customWidth="1"/>
    <col min="14863" max="14863" width="19" customWidth="1"/>
    <col min="14864" max="14864" width="12.140625" customWidth="1"/>
    <col min="15105" max="15105" width="4.7109375" customWidth="1"/>
    <col min="15106" max="15106" width="10.28515625" customWidth="1"/>
    <col min="15107" max="15107" width="28.7109375" customWidth="1"/>
    <col min="15108" max="15114" width="0" hidden="1" customWidth="1"/>
    <col min="15115" max="15115" width="17.140625" customWidth="1"/>
    <col min="15116" max="15116" width="15.7109375" customWidth="1"/>
    <col min="15117" max="15117" width="14.85546875" customWidth="1"/>
    <col min="15118" max="15118" width="15.7109375" customWidth="1"/>
    <col min="15119" max="15119" width="19" customWidth="1"/>
    <col min="15120" max="15120" width="12.140625" customWidth="1"/>
    <col min="15361" max="15361" width="4.7109375" customWidth="1"/>
    <col min="15362" max="15362" width="10.28515625" customWidth="1"/>
    <col min="15363" max="15363" width="28.7109375" customWidth="1"/>
    <col min="15364" max="15370" width="0" hidden="1" customWidth="1"/>
    <col min="15371" max="15371" width="17.140625" customWidth="1"/>
    <col min="15372" max="15372" width="15.7109375" customWidth="1"/>
    <col min="15373" max="15373" width="14.85546875" customWidth="1"/>
    <col min="15374" max="15374" width="15.7109375" customWidth="1"/>
    <col min="15375" max="15375" width="19" customWidth="1"/>
    <col min="15376" max="15376" width="12.140625" customWidth="1"/>
    <col min="15617" max="15617" width="4.7109375" customWidth="1"/>
    <col min="15618" max="15618" width="10.28515625" customWidth="1"/>
    <col min="15619" max="15619" width="28.7109375" customWidth="1"/>
    <col min="15620" max="15626" width="0" hidden="1" customWidth="1"/>
    <col min="15627" max="15627" width="17.140625" customWidth="1"/>
    <col min="15628" max="15628" width="15.7109375" customWidth="1"/>
    <col min="15629" max="15629" width="14.85546875" customWidth="1"/>
    <col min="15630" max="15630" width="15.7109375" customWidth="1"/>
    <col min="15631" max="15631" width="19" customWidth="1"/>
    <col min="15632" max="15632" width="12.140625" customWidth="1"/>
    <col min="15873" max="15873" width="4.7109375" customWidth="1"/>
    <col min="15874" max="15874" width="10.28515625" customWidth="1"/>
    <col min="15875" max="15875" width="28.7109375" customWidth="1"/>
    <col min="15876" max="15882" width="0" hidden="1" customWidth="1"/>
    <col min="15883" max="15883" width="17.140625" customWidth="1"/>
    <col min="15884" max="15884" width="15.7109375" customWidth="1"/>
    <col min="15885" max="15885" width="14.85546875" customWidth="1"/>
    <col min="15886" max="15886" width="15.7109375" customWidth="1"/>
    <col min="15887" max="15887" width="19" customWidth="1"/>
    <col min="15888" max="15888" width="12.140625" customWidth="1"/>
    <col min="16129" max="16129" width="4.7109375" customWidth="1"/>
    <col min="16130" max="16130" width="10.28515625" customWidth="1"/>
    <col min="16131" max="16131" width="28.7109375" customWidth="1"/>
    <col min="16132" max="16138" width="0" hidden="1" customWidth="1"/>
    <col min="16139" max="16139" width="17.140625" customWidth="1"/>
    <col min="16140" max="16140" width="15.7109375" customWidth="1"/>
    <col min="16141" max="16141" width="14.85546875" customWidth="1"/>
    <col min="16142" max="16142" width="15.7109375" customWidth="1"/>
    <col min="16143" max="16143" width="19" customWidth="1"/>
    <col min="16144" max="16144" width="12.140625" customWidth="1"/>
  </cols>
  <sheetData>
    <row r="1" spans="1:16" ht="45.75" customHeight="1" x14ac:dyDescent="0.3">
      <c r="B1" s="1" t="s">
        <v>0</v>
      </c>
      <c r="C1" s="2"/>
      <c r="D1" s="3"/>
      <c r="E1" s="4">
        <v>24</v>
      </c>
      <c r="F1" s="5">
        <f>2003*2.5</f>
        <v>5007.5</v>
      </c>
      <c r="G1" s="6"/>
      <c r="H1" s="7"/>
      <c r="J1" s="8"/>
    </row>
    <row r="2" spans="1:16" x14ac:dyDescent="0.25">
      <c r="B2" s="11" t="s">
        <v>1</v>
      </c>
      <c r="C2" s="12" t="s">
        <v>2</v>
      </c>
      <c r="D2" s="13">
        <v>1</v>
      </c>
      <c r="E2" s="99"/>
      <c r="F2" s="99"/>
      <c r="G2" s="14" t="s">
        <v>3</v>
      </c>
      <c r="H2" s="14" t="s">
        <v>3</v>
      </c>
      <c r="I2" s="15" t="s">
        <v>4</v>
      </c>
      <c r="J2" s="15" t="s">
        <v>4</v>
      </c>
    </row>
    <row r="3" spans="1:16" x14ac:dyDescent="0.25">
      <c r="B3" s="11" t="s">
        <v>5</v>
      </c>
      <c r="C3" s="12"/>
      <c r="D3" s="13">
        <v>0</v>
      </c>
      <c r="E3" s="16" t="s">
        <v>6</v>
      </c>
      <c r="F3" s="16" t="s">
        <v>7</v>
      </c>
      <c r="G3" s="17" t="s">
        <v>8</v>
      </c>
      <c r="H3" s="18" t="s">
        <v>9</v>
      </c>
      <c r="I3" s="19" t="s">
        <v>10</v>
      </c>
      <c r="J3" s="20" t="s">
        <v>11</v>
      </c>
      <c r="K3" s="21" t="s">
        <v>12</v>
      </c>
      <c r="L3" s="22" t="s">
        <v>13</v>
      </c>
      <c r="M3" s="22" t="s">
        <v>14</v>
      </c>
      <c r="N3" s="22" t="s">
        <v>15</v>
      </c>
      <c r="O3" s="23" t="s">
        <v>16</v>
      </c>
    </row>
    <row r="4" spans="1:16" ht="30" customHeight="1" x14ac:dyDescent="0.25">
      <c r="A4" s="24">
        <v>1</v>
      </c>
      <c r="B4" s="25" t="s">
        <v>17</v>
      </c>
      <c r="C4" s="26" t="s">
        <v>18</v>
      </c>
      <c r="D4" s="27">
        <v>1</v>
      </c>
      <c r="E4" s="28">
        <v>24</v>
      </c>
      <c r="F4" s="29">
        <f t="shared" ref="F4:F11" si="0">E4/$E$1</f>
        <v>1</v>
      </c>
      <c r="G4" s="30">
        <f>4800+3000+1000+500</f>
        <v>9300</v>
      </c>
      <c r="H4" s="31"/>
      <c r="I4" s="32"/>
      <c r="J4" s="33"/>
      <c r="K4" s="21">
        <v>0</v>
      </c>
      <c r="L4" s="34">
        <f t="shared" ref="L4:L67" si="1">(2200*F4)+7855-G4</f>
        <v>755</v>
      </c>
      <c r="M4" s="34">
        <f t="shared" ref="M4:M25" si="2">(2200*F4)+2870-H4</f>
        <v>5070</v>
      </c>
      <c r="N4" s="34">
        <f>7000*F4-I4-J4</f>
        <v>7000</v>
      </c>
      <c r="O4" s="35">
        <f t="shared" ref="O4:O64" si="3">SUM(K4:N4)</f>
        <v>12825</v>
      </c>
    </row>
    <row r="5" spans="1:16" ht="30" customHeight="1" x14ac:dyDescent="0.25">
      <c r="A5" s="24">
        <v>2</v>
      </c>
      <c r="B5" s="25" t="s">
        <v>19</v>
      </c>
      <c r="C5" s="26" t="s">
        <v>20</v>
      </c>
      <c r="D5" s="36">
        <v>0</v>
      </c>
      <c r="E5" s="28">
        <v>24</v>
      </c>
      <c r="F5" s="29">
        <f t="shared" si="0"/>
        <v>1</v>
      </c>
      <c r="G5" s="30"/>
      <c r="H5" s="31"/>
      <c r="I5" s="32"/>
      <c r="J5" s="33"/>
      <c r="K5" s="37">
        <v>32375</v>
      </c>
      <c r="L5" s="34">
        <f t="shared" si="1"/>
        <v>10055</v>
      </c>
      <c r="M5" s="34">
        <f t="shared" si="2"/>
        <v>5070</v>
      </c>
      <c r="N5" s="34">
        <v>0</v>
      </c>
      <c r="O5" s="35">
        <f t="shared" si="3"/>
        <v>47500</v>
      </c>
      <c r="P5" t="s">
        <v>21</v>
      </c>
    </row>
    <row r="6" spans="1:16" ht="30" customHeight="1" x14ac:dyDescent="0.25">
      <c r="A6" s="24">
        <v>3</v>
      </c>
      <c r="B6" s="25" t="s">
        <v>22</v>
      </c>
      <c r="C6" s="26" t="s">
        <v>23</v>
      </c>
      <c r="D6" s="27">
        <v>1</v>
      </c>
      <c r="E6" s="28">
        <v>24</v>
      </c>
      <c r="F6" s="29">
        <f t="shared" si="0"/>
        <v>1</v>
      </c>
      <c r="G6" s="30"/>
      <c r="H6" s="31"/>
      <c r="I6" s="32"/>
      <c r="J6" s="33"/>
      <c r="K6" s="21"/>
      <c r="L6" s="34">
        <f t="shared" si="1"/>
        <v>10055</v>
      </c>
      <c r="M6" s="34">
        <f t="shared" si="2"/>
        <v>5070</v>
      </c>
      <c r="N6" s="34">
        <f t="shared" ref="N6:N25" si="4">7000*F6-I6-J6</f>
        <v>7000</v>
      </c>
      <c r="O6" s="35">
        <f t="shared" si="3"/>
        <v>22125</v>
      </c>
    </row>
    <row r="7" spans="1:16" ht="30" customHeight="1" x14ac:dyDescent="0.25">
      <c r="A7" s="24">
        <v>4</v>
      </c>
      <c r="B7" s="25" t="s">
        <v>24</v>
      </c>
      <c r="C7" s="26" t="s">
        <v>25</v>
      </c>
      <c r="D7" s="27">
        <v>1</v>
      </c>
      <c r="E7" s="28">
        <v>24</v>
      </c>
      <c r="F7" s="29">
        <f t="shared" si="0"/>
        <v>1</v>
      </c>
      <c r="G7" s="30">
        <v>7000</v>
      </c>
      <c r="H7" s="31"/>
      <c r="I7" s="32"/>
      <c r="J7" s="33"/>
      <c r="K7" s="21"/>
      <c r="L7" s="34">
        <f t="shared" si="1"/>
        <v>3055</v>
      </c>
      <c r="M7" s="34">
        <f t="shared" si="2"/>
        <v>5070</v>
      </c>
      <c r="N7" s="34">
        <f t="shared" si="4"/>
        <v>7000</v>
      </c>
      <c r="O7" s="35">
        <f t="shared" si="3"/>
        <v>15125</v>
      </c>
    </row>
    <row r="8" spans="1:16" ht="30" customHeight="1" x14ac:dyDescent="0.25">
      <c r="A8" s="24">
        <v>5</v>
      </c>
      <c r="B8" s="25" t="s">
        <v>26</v>
      </c>
      <c r="C8" s="38" t="s">
        <v>27</v>
      </c>
      <c r="D8" s="27">
        <v>1</v>
      </c>
      <c r="E8" s="28">
        <v>24</v>
      </c>
      <c r="F8" s="29">
        <f t="shared" si="0"/>
        <v>1</v>
      </c>
      <c r="G8" s="30">
        <v>7300</v>
      </c>
      <c r="H8" s="31"/>
      <c r="I8" s="32"/>
      <c r="J8" s="33"/>
      <c r="K8" s="21"/>
      <c r="L8" s="34">
        <f t="shared" si="1"/>
        <v>2755</v>
      </c>
      <c r="M8" s="34">
        <f t="shared" si="2"/>
        <v>5070</v>
      </c>
      <c r="N8" s="34">
        <f t="shared" si="4"/>
        <v>7000</v>
      </c>
      <c r="O8" s="35">
        <f t="shared" si="3"/>
        <v>14825</v>
      </c>
    </row>
    <row r="9" spans="1:16" ht="30" customHeight="1" x14ac:dyDescent="0.25">
      <c r="A9" s="24">
        <v>6</v>
      </c>
      <c r="B9" s="25" t="s">
        <v>28</v>
      </c>
      <c r="C9" s="39" t="s">
        <v>29</v>
      </c>
      <c r="D9" s="27">
        <v>1</v>
      </c>
      <c r="E9" s="28">
        <v>24</v>
      </c>
      <c r="F9" s="29">
        <f t="shared" si="0"/>
        <v>1</v>
      </c>
      <c r="G9" s="30"/>
      <c r="H9" s="31"/>
      <c r="I9" s="32"/>
      <c r="J9" s="33"/>
      <c r="K9" s="21"/>
      <c r="L9" s="34">
        <f t="shared" si="1"/>
        <v>10055</v>
      </c>
      <c r="M9" s="34">
        <f t="shared" si="2"/>
        <v>5070</v>
      </c>
      <c r="N9" s="34">
        <f t="shared" si="4"/>
        <v>7000</v>
      </c>
      <c r="O9" s="35">
        <f t="shared" si="3"/>
        <v>22125</v>
      </c>
    </row>
    <row r="10" spans="1:16" ht="30" customHeight="1" x14ac:dyDescent="0.25">
      <c r="A10" s="24">
        <v>7</v>
      </c>
      <c r="B10" s="25" t="s">
        <v>30</v>
      </c>
      <c r="C10" s="26" t="s">
        <v>31</v>
      </c>
      <c r="D10" s="27">
        <v>1</v>
      </c>
      <c r="E10" s="28">
        <v>24</v>
      </c>
      <c r="F10" s="29">
        <f t="shared" si="0"/>
        <v>1</v>
      </c>
      <c r="G10" s="30"/>
      <c r="H10" s="31"/>
      <c r="I10" s="32"/>
      <c r="J10" s="33"/>
      <c r="K10" s="37">
        <f>18062-3000-5000</f>
        <v>10062</v>
      </c>
      <c r="L10" s="34">
        <f t="shared" si="1"/>
        <v>10055</v>
      </c>
      <c r="M10" s="34">
        <f t="shared" si="2"/>
        <v>5070</v>
      </c>
      <c r="N10" s="34">
        <f t="shared" si="4"/>
        <v>7000</v>
      </c>
      <c r="O10" s="35">
        <f t="shared" si="3"/>
        <v>32187</v>
      </c>
    </row>
    <row r="11" spans="1:16" ht="30" customHeight="1" x14ac:dyDescent="0.25">
      <c r="A11" s="24">
        <v>8</v>
      </c>
      <c r="B11" s="25" t="s">
        <v>32</v>
      </c>
      <c r="C11" s="26" t="s">
        <v>33</v>
      </c>
      <c r="D11" s="27">
        <v>1</v>
      </c>
      <c r="E11" s="28">
        <v>24</v>
      </c>
      <c r="F11" s="29">
        <f t="shared" si="0"/>
        <v>1</v>
      </c>
      <c r="G11" s="30"/>
      <c r="H11" s="31"/>
      <c r="I11" s="32"/>
      <c r="J11" s="33"/>
      <c r="K11" s="21"/>
      <c r="L11" s="34">
        <f t="shared" si="1"/>
        <v>10055</v>
      </c>
      <c r="M11" s="34">
        <f t="shared" si="2"/>
        <v>5070</v>
      </c>
      <c r="N11" s="34">
        <f t="shared" si="4"/>
        <v>7000</v>
      </c>
      <c r="O11" s="35">
        <f t="shared" si="3"/>
        <v>22125</v>
      </c>
    </row>
    <row r="12" spans="1:16" ht="30" customHeight="1" x14ac:dyDescent="0.25">
      <c r="A12" s="24">
        <v>9</v>
      </c>
      <c r="B12" s="25" t="s">
        <v>34</v>
      </c>
      <c r="C12" s="26" t="s">
        <v>35</v>
      </c>
      <c r="D12" s="27">
        <v>1</v>
      </c>
      <c r="E12" s="28">
        <v>24</v>
      </c>
      <c r="F12" s="29">
        <v>1</v>
      </c>
      <c r="G12" s="30"/>
      <c r="H12" s="31"/>
      <c r="I12" s="32"/>
      <c r="J12" s="33"/>
      <c r="K12" s="21"/>
      <c r="L12" s="34">
        <f t="shared" si="1"/>
        <v>10055</v>
      </c>
      <c r="M12" s="34">
        <f t="shared" si="2"/>
        <v>5070</v>
      </c>
      <c r="N12" s="34">
        <f t="shared" si="4"/>
        <v>7000</v>
      </c>
      <c r="O12" s="35">
        <f t="shared" si="3"/>
        <v>22125</v>
      </c>
    </row>
    <row r="13" spans="1:16" ht="30" customHeight="1" x14ac:dyDescent="0.25">
      <c r="A13" s="24">
        <v>10</v>
      </c>
      <c r="B13" s="25" t="s">
        <v>36</v>
      </c>
      <c r="C13" s="26" t="s">
        <v>37</v>
      </c>
      <c r="D13" s="27">
        <v>1</v>
      </c>
      <c r="E13" s="28">
        <v>24</v>
      </c>
      <c r="F13" s="29">
        <v>1</v>
      </c>
      <c r="G13" s="30"/>
      <c r="H13" s="31"/>
      <c r="I13" s="32"/>
      <c r="J13" s="33"/>
      <c r="K13" s="37">
        <v>24972</v>
      </c>
      <c r="L13" s="34">
        <f t="shared" si="1"/>
        <v>10055</v>
      </c>
      <c r="M13" s="34">
        <f t="shared" si="2"/>
        <v>5070</v>
      </c>
      <c r="N13" s="34">
        <f t="shared" si="4"/>
        <v>7000</v>
      </c>
      <c r="O13" s="35">
        <f t="shared" si="3"/>
        <v>47097</v>
      </c>
    </row>
    <row r="14" spans="1:16" ht="30" customHeight="1" x14ac:dyDescent="0.25">
      <c r="A14" s="24">
        <v>11</v>
      </c>
      <c r="B14" s="25" t="s">
        <v>38</v>
      </c>
      <c r="C14" s="26" t="s">
        <v>39</v>
      </c>
      <c r="D14" s="27">
        <v>1</v>
      </c>
      <c r="E14" s="28">
        <v>24</v>
      </c>
      <c r="F14" s="29">
        <v>1</v>
      </c>
      <c r="G14" s="30"/>
      <c r="H14" s="31"/>
      <c r="I14" s="32"/>
      <c r="J14" s="33"/>
      <c r="K14" s="37">
        <f>9540-8000</f>
        <v>1540</v>
      </c>
      <c r="L14" s="34">
        <f t="shared" si="1"/>
        <v>10055</v>
      </c>
      <c r="M14" s="34">
        <f t="shared" si="2"/>
        <v>5070</v>
      </c>
      <c r="N14" s="34">
        <f t="shared" si="4"/>
        <v>7000</v>
      </c>
      <c r="O14" s="35">
        <f t="shared" si="3"/>
        <v>23665</v>
      </c>
    </row>
    <row r="15" spans="1:16" ht="30" customHeight="1" x14ac:dyDescent="0.25">
      <c r="A15" s="24">
        <v>12</v>
      </c>
      <c r="B15" s="25" t="s">
        <v>40</v>
      </c>
      <c r="C15" s="26" t="s">
        <v>41</v>
      </c>
      <c r="D15" s="27">
        <v>1</v>
      </c>
      <c r="E15" s="28">
        <v>24</v>
      </c>
      <c r="F15" s="29">
        <v>1</v>
      </c>
      <c r="G15" s="30"/>
      <c r="H15" s="31"/>
      <c r="I15" s="32"/>
      <c r="J15" s="33"/>
      <c r="K15" s="21"/>
      <c r="L15" s="34">
        <f t="shared" si="1"/>
        <v>10055</v>
      </c>
      <c r="M15" s="34">
        <f t="shared" si="2"/>
        <v>5070</v>
      </c>
      <c r="N15" s="34">
        <f t="shared" si="4"/>
        <v>7000</v>
      </c>
      <c r="O15" s="35">
        <f t="shared" si="3"/>
        <v>22125</v>
      </c>
    </row>
    <row r="16" spans="1:16" ht="30" customHeight="1" x14ac:dyDescent="0.25">
      <c r="A16" s="24">
        <v>13</v>
      </c>
      <c r="B16" s="25" t="s">
        <v>42</v>
      </c>
      <c r="C16" s="26" t="s">
        <v>43</v>
      </c>
      <c r="D16" s="27">
        <v>1</v>
      </c>
      <c r="E16" s="28">
        <v>24</v>
      </c>
      <c r="F16" s="29">
        <v>1</v>
      </c>
      <c r="G16" s="30"/>
      <c r="H16" s="31"/>
      <c r="I16" s="32"/>
      <c r="J16" s="33"/>
      <c r="K16" s="37">
        <v>9539</v>
      </c>
      <c r="L16" s="34">
        <f t="shared" si="1"/>
        <v>10055</v>
      </c>
      <c r="M16" s="34">
        <f t="shared" si="2"/>
        <v>5070</v>
      </c>
      <c r="N16" s="34">
        <f t="shared" si="4"/>
        <v>7000</v>
      </c>
      <c r="O16" s="35">
        <f t="shared" si="3"/>
        <v>31664</v>
      </c>
    </row>
    <row r="17" spans="1:15" ht="30" customHeight="1" x14ac:dyDescent="0.25">
      <c r="A17" s="24">
        <v>14</v>
      </c>
      <c r="B17" s="25" t="s">
        <v>44</v>
      </c>
      <c r="C17" s="26" t="s">
        <v>45</v>
      </c>
      <c r="D17" s="27">
        <v>1</v>
      </c>
      <c r="E17" s="28">
        <v>24</v>
      </c>
      <c r="F17" s="29">
        <v>1</v>
      </c>
      <c r="G17" s="30"/>
      <c r="H17" s="31"/>
      <c r="I17" s="32"/>
      <c r="J17" s="33"/>
      <c r="K17" s="37">
        <v>32462</v>
      </c>
      <c r="L17" s="34">
        <f t="shared" si="1"/>
        <v>10055</v>
      </c>
      <c r="M17" s="34">
        <f t="shared" si="2"/>
        <v>5070</v>
      </c>
      <c r="N17" s="34">
        <f t="shared" si="4"/>
        <v>7000</v>
      </c>
      <c r="O17" s="35">
        <f t="shared" si="3"/>
        <v>54587</v>
      </c>
    </row>
    <row r="18" spans="1:15" ht="30" customHeight="1" x14ac:dyDescent="0.25">
      <c r="A18" s="24">
        <v>15</v>
      </c>
      <c r="B18" s="25" t="s">
        <v>46</v>
      </c>
      <c r="C18" s="26" t="s">
        <v>47</v>
      </c>
      <c r="D18" s="27">
        <v>1</v>
      </c>
      <c r="E18" s="28">
        <v>24</v>
      </c>
      <c r="F18" s="29">
        <v>1</v>
      </c>
      <c r="G18" s="30"/>
      <c r="H18" s="31"/>
      <c r="I18" s="32"/>
      <c r="J18" s="33"/>
      <c r="K18" s="37">
        <v>73761</v>
      </c>
      <c r="L18" s="34">
        <f t="shared" si="1"/>
        <v>10055</v>
      </c>
      <c r="M18" s="34">
        <f t="shared" si="2"/>
        <v>5070</v>
      </c>
      <c r="N18" s="34">
        <f t="shared" si="4"/>
        <v>7000</v>
      </c>
      <c r="O18" s="35">
        <f t="shared" si="3"/>
        <v>95886</v>
      </c>
    </row>
    <row r="19" spans="1:15" ht="30" customHeight="1" x14ac:dyDescent="0.25">
      <c r="A19" s="24">
        <v>16</v>
      </c>
      <c r="B19" s="25" t="s">
        <v>48</v>
      </c>
      <c r="C19" s="26" t="s">
        <v>49</v>
      </c>
      <c r="D19" s="27">
        <v>1</v>
      </c>
      <c r="E19" s="28">
        <v>24</v>
      </c>
      <c r="F19" s="29">
        <v>1</v>
      </c>
      <c r="G19" s="30"/>
      <c r="H19" s="31"/>
      <c r="I19" s="32"/>
      <c r="J19" s="33"/>
      <c r="K19" s="21"/>
      <c r="L19" s="34">
        <f t="shared" si="1"/>
        <v>10055</v>
      </c>
      <c r="M19" s="34">
        <f t="shared" si="2"/>
        <v>5070</v>
      </c>
      <c r="N19" s="34">
        <f t="shared" si="4"/>
        <v>7000</v>
      </c>
      <c r="O19" s="35">
        <f t="shared" si="3"/>
        <v>22125</v>
      </c>
    </row>
    <row r="20" spans="1:15" ht="30" customHeight="1" x14ac:dyDescent="0.25">
      <c r="A20" s="24">
        <v>17</v>
      </c>
      <c r="B20" s="25" t="s">
        <v>50</v>
      </c>
      <c r="C20" s="26" t="s">
        <v>51</v>
      </c>
      <c r="D20" s="27">
        <v>1</v>
      </c>
      <c r="E20" s="28">
        <v>24</v>
      </c>
      <c r="F20" s="29">
        <v>1</v>
      </c>
      <c r="G20" s="30">
        <f>6000+4055</f>
        <v>10055</v>
      </c>
      <c r="H20" s="31">
        <v>2200</v>
      </c>
      <c r="I20" s="32">
        <v>7000</v>
      </c>
      <c r="J20" s="33"/>
      <c r="K20" s="21"/>
      <c r="L20" s="34">
        <f t="shared" si="1"/>
        <v>0</v>
      </c>
      <c r="M20" s="34">
        <f t="shared" si="2"/>
        <v>2870</v>
      </c>
      <c r="N20" s="34">
        <f t="shared" si="4"/>
        <v>0</v>
      </c>
      <c r="O20" s="35">
        <f t="shared" si="3"/>
        <v>2870</v>
      </c>
    </row>
    <row r="21" spans="1:15" ht="30" customHeight="1" x14ac:dyDescent="0.25">
      <c r="A21" s="24">
        <v>18</v>
      </c>
      <c r="B21" s="25" t="s">
        <v>52</v>
      </c>
      <c r="C21" s="26" t="s">
        <v>53</v>
      </c>
      <c r="D21" s="27">
        <v>1</v>
      </c>
      <c r="E21" s="28">
        <v>24</v>
      </c>
      <c r="F21" s="29">
        <v>1</v>
      </c>
      <c r="G21" s="30">
        <v>4800</v>
      </c>
      <c r="H21" s="31"/>
      <c r="I21" s="32"/>
      <c r="J21" s="33"/>
      <c r="K21" s="21"/>
      <c r="L21" s="34">
        <f t="shared" si="1"/>
        <v>5255</v>
      </c>
      <c r="M21" s="34">
        <f t="shared" si="2"/>
        <v>5070</v>
      </c>
      <c r="N21" s="34">
        <f t="shared" si="4"/>
        <v>7000</v>
      </c>
      <c r="O21" s="35">
        <f t="shared" si="3"/>
        <v>17325</v>
      </c>
    </row>
    <row r="22" spans="1:15" ht="30" customHeight="1" x14ac:dyDescent="0.25">
      <c r="A22" s="24">
        <v>19</v>
      </c>
      <c r="B22" s="25" t="s">
        <v>54</v>
      </c>
      <c r="C22" s="26" t="s">
        <v>55</v>
      </c>
      <c r="D22" s="27">
        <v>1</v>
      </c>
      <c r="E22" s="28">
        <v>24</v>
      </c>
      <c r="F22" s="29">
        <v>1</v>
      </c>
      <c r="G22" s="30">
        <f>4975</f>
        <v>4975</v>
      </c>
      <c r="H22" s="31"/>
      <c r="I22" s="32"/>
      <c r="J22" s="33"/>
      <c r="K22" s="37">
        <f>20525-5500-15025</f>
        <v>0</v>
      </c>
      <c r="L22" s="34">
        <f t="shared" si="1"/>
        <v>5080</v>
      </c>
      <c r="M22" s="34">
        <f t="shared" si="2"/>
        <v>5070</v>
      </c>
      <c r="N22" s="34">
        <f t="shared" si="4"/>
        <v>7000</v>
      </c>
      <c r="O22" s="35">
        <f t="shared" si="3"/>
        <v>17150</v>
      </c>
    </row>
    <row r="23" spans="1:15" ht="30" customHeight="1" x14ac:dyDescent="0.25">
      <c r="A23" s="24">
        <v>20</v>
      </c>
      <c r="B23" s="25" t="s">
        <v>56</v>
      </c>
      <c r="C23" s="26" t="s">
        <v>57</v>
      </c>
      <c r="D23" s="27">
        <v>1</v>
      </c>
      <c r="E23" s="28">
        <v>24</v>
      </c>
      <c r="F23" s="29">
        <v>1</v>
      </c>
      <c r="G23" s="30"/>
      <c r="H23" s="31"/>
      <c r="I23" s="32"/>
      <c r="J23" s="33"/>
      <c r="K23" s="37">
        <v>76006</v>
      </c>
      <c r="L23" s="34">
        <f t="shared" si="1"/>
        <v>10055</v>
      </c>
      <c r="M23" s="34">
        <f t="shared" si="2"/>
        <v>5070</v>
      </c>
      <c r="N23" s="34">
        <f t="shared" si="4"/>
        <v>7000</v>
      </c>
      <c r="O23" s="35">
        <f t="shared" si="3"/>
        <v>98131</v>
      </c>
    </row>
    <row r="24" spans="1:15" ht="30" customHeight="1" x14ac:dyDescent="0.25">
      <c r="A24" s="24">
        <v>21</v>
      </c>
      <c r="B24" s="25" t="s">
        <v>58</v>
      </c>
      <c r="C24" s="26" t="s">
        <v>59</v>
      </c>
      <c r="D24" s="27">
        <v>1</v>
      </c>
      <c r="E24" s="28">
        <v>24</v>
      </c>
      <c r="F24" s="29">
        <v>1</v>
      </c>
      <c r="G24" s="30"/>
      <c r="H24" s="31"/>
      <c r="I24" s="32"/>
      <c r="J24" s="33"/>
      <c r="K24" s="37">
        <f>17634-5000-5000-4000</f>
        <v>3634</v>
      </c>
      <c r="L24" s="34">
        <f t="shared" si="1"/>
        <v>10055</v>
      </c>
      <c r="M24" s="34">
        <f t="shared" si="2"/>
        <v>5070</v>
      </c>
      <c r="N24" s="34">
        <f t="shared" si="4"/>
        <v>7000</v>
      </c>
      <c r="O24" s="35">
        <f t="shared" si="3"/>
        <v>25759</v>
      </c>
    </row>
    <row r="25" spans="1:15" ht="30" customHeight="1" x14ac:dyDescent="0.25">
      <c r="A25" s="24">
        <v>22</v>
      </c>
      <c r="B25" s="25" t="s">
        <v>60</v>
      </c>
      <c r="C25" s="26" t="s">
        <v>61</v>
      </c>
      <c r="D25" s="27">
        <v>1</v>
      </c>
      <c r="E25" s="28">
        <f t="shared" ref="E25:E30" si="5">$E$1*F25</f>
        <v>24</v>
      </c>
      <c r="F25" s="29">
        <v>1</v>
      </c>
      <c r="G25" s="30"/>
      <c r="H25" s="31"/>
      <c r="I25" s="32"/>
      <c r="J25" s="33"/>
      <c r="K25" s="37">
        <v>59116</v>
      </c>
      <c r="L25" s="34">
        <f t="shared" si="1"/>
        <v>10055</v>
      </c>
      <c r="M25" s="34">
        <f t="shared" si="2"/>
        <v>5070</v>
      </c>
      <c r="N25" s="34">
        <f t="shared" si="4"/>
        <v>7000</v>
      </c>
      <c r="O25" s="35">
        <f t="shared" si="3"/>
        <v>81241</v>
      </c>
    </row>
    <row r="26" spans="1:15" ht="30" customHeight="1" x14ac:dyDescent="0.25">
      <c r="A26" s="24">
        <v>23</v>
      </c>
      <c r="B26" s="25" t="s">
        <v>62</v>
      </c>
      <c r="C26" s="26" t="s">
        <v>63</v>
      </c>
      <c r="D26" s="36">
        <v>0</v>
      </c>
      <c r="E26" s="28">
        <f t="shared" si="5"/>
        <v>24</v>
      </c>
      <c r="F26" s="29">
        <v>1</v>
      </c>
      <c r="G26" s="30">
        <v>2500</v>
      </c>
      <c r="H26" s="31"/>
      <c r="I26" s="32">
        <v>0</v>
      </c>
      <c r="J26" s="33">
        <v>0</v>
      </c>
      <c r="K26" s="21"/>
      <c r="L26" s="34">
        <f t="shared" si="1"/>
        <v>7555</v>
      </c>
      <c r="M26" s="34">
        <f>(2200*F26)+2870-H26-1000</f>
        <v>4070</v>
      </c>
      <c r="N26" s="34">
        <v>0</v>
      </c>
      <c r="O26" s="35">
        <f t="shared" si="3"/>
        <v>11625</v>
      </c>
    </row>
    <row r="27" spans="1:15" ht="30" customHeight="1" x14ac:dyDescent="0.25">
      <c r="A27" s="24">
        <v>24</v>
      </c>
      <c r="B27" s="25" t="s">
        <v>64</v>
      </c>
      <c r="C27" s="26" t="s">
        <v>65</v>
      </c>
      <c r="D27" s="27">
        <v>1</v>
      </c>
      <c r="E27" s="28">
        <f t="shared" si="5"/>
        <v>24</v>
      </c>
      <c r="F27" s="29">
        <v>1</v>
      </c>
      <c r="G27" s="30"/>
      <c r="H27" s="31"/>
      <c r="I27" s="32"/>
      <c r="J27" s="33"/>
      <c r="K27" s="21"/>
      <c r="L27" s="34">
        <f t="shared" si="1"/>
        <v>10055</v>
      </c>
      <c r="M27" s="34">
        <f t="shared" ref="M27:M50" si="6">(2200*F27)+2870-H27</f>
        <v>5070</v>
      </c>
      <c r="N27" s="34">
        <f t="shared" ref="N27:N50" si="7">7000*F27-I27-J27</f>
        <v>7000</v>
      </c>
      <c r="O27" s="35">
        <f t="shared" si="3"/>
        <v>22125</v>
      </c>
    </row>
    <row r="28" spans="1:15" ht="30" customHeight="1" x14ac:dyDescent="0.25">
      <c r="A28" s="24">
        <v>25</v>
      </c>
      <c r="B28" s="25" t="s">
        <v>66</v>
      </c>
      <c r="C28" s="26" t="s">
        <v>67</v>
      </c>
      <c r="D28" s="27">
        <v>1</v>
      </c>
      <c r="E28" s="28">
        <f t="shared" si="5"/>
        <v>24</v>
      </c>
      <c r="F28" s="29">
        <v>1</v>
      </c>
      <c r="G28" s="30">
        <v>10055</v>
      </c>
      <c r="H28" s="31"/>
      <c r="I28" s="32">
        <f>3000+2500+1500</f>
        <v>7000</v>
      </c>
      <c r="J28" s="33"/>
      <c r="K28" s="21"/>
      <c r="L28" s="34">
        <f t="shared" si="1"/>
        <v>0</v>
      </c>
      <c r="M28" s="34">
        <f t="shared" si="6"/>
        <v>5070</v>
      </c>
      <c r="N28" s="34">
        <f t="shared" si="7"/>
        <v>0</v>
      </c>
      <c r="O28" s="35">
        <f t="shared" si="3"/>
        <v>5070</v>
      </c>
    </row>
    <row r="29" spans="1:15" ht="30" customHeight="1" x14ac:dyDescent="0.25">
      <c r="A29" s="24">
        <v>26</v>
      </c>
      <c r="B29" s="25" t="s">
        <v>68</v>
      </c>
      <c r="C29" s="26" t="s">
        <v>69</v>
      </c>
      <c r="D29" s="27">
        <v>1</v>
      </c>
      <c r="E29" s="28">
        <f t="shared" si="5"/>
        <v>24</v>
      </c>
      <c r="F29" s="29">
        <v>1</v>
      </c>
      <c r="G29" s="30">
        <v>10055</v>
      </c>
      <c r="H29" s="31"/>
      <c r="I29" s="32">
        <v>3945</v>
      </c>
      <c r="J29" s="33"/>
      <c r="K29" s="21"/>
      <c r="L29" s="34">
        <f t="shared" si="1"/>
        <v>0</v>
      </c>
      <c r="M29" s="34">
        <f t="shared" si="6"/>
        <v>5070</v>
      </c>
      <c r="N29" s="34">
        <f t="shared" si="7"/>
        <v>3055</v>
      </c>
      <c r="O29" s="35">
        <f t="shared" si="3"/>
        <v>8125</v>
      </c>
    </row>
    <row r="30" spans="1:15" ht="30" customHeight="1" x14ac:dyDescent="0.25">
      <c r="A30" s="24">
        <v>27</v>
      </c>
      <c r="B30" s="25" t="s">
        <v>70</v>
      </c>
      <c r="C30" s="26" t="s">
        <v>71</v>
      </c>
      <c r="D30" s="27">
        <v>1</v>
      </c>
      <c r="E30" s="28">
        <f t="shared" si="5"/>
        <v>24</v>
      </c>
      <c r="F30" s="29">
        <v>1</v>
      </c>
      <c r="G30" s="30">
        <v>10055</v>
      </c>
      <c r="H30" s="31">
        <v>2000</v>
      </c>
      <c r="I30" s="32">
        <f>2000+4000+1000</f>
        <v>7000</v>
      </c>
      <c r="J30" s="33"/>
      <c r="K30" s="21"/>
      <c r="L30" s="34">
        <f t="shared" si="1"/>
        <v>0</v>
      </c>
      <c r="M30" s="34">
        <f t="shared" si="6"/>
        <v>3070</v>
      </c>
      <c r="N30" s="34">
        <f t="shared" si="7"/>
        <v>0</v>
      </c>
      <c r="O30" s="35">
        <f t="shared" si="3"/>
        <v>3070</v>
      </c>
    </row>
    <row r="31" spans="1:15" ht="30" customHeight="1" x14ac:dyDescent="0.25">
      <c r="A31" s="24">
        <v>28</v>
      </c>
      <c r="B31" s="25" t="s">
        <v>72</v>
      </c>
      <c r="C31" s="26" t="s">
        <v>73</v>
      </c>
      <c r="D31" s="27">
        <v>1</v>
      </c>
      <c r="E31" s="28">
        <v>32.72</v>
      </c>
      <c r="F31" s="29">
        <v>1.36</v>
      </c>
      <c r="G31" s="30"/>
      <c r="H31" s="31"/>
      <c r="I31" s="32"/>
      <c r="J31" s="33"/>
      <c r="K31" s="37">
        <v>406</v>
      </c>
      <c r="L31" s="34">
        <f t="shared" si="1"/>
        <v>10847</v>
      </c>
      <c r="M31" s="34">
        <f t="shared" si="6"/>
        <v>5862</v>
      </c>
      <c r="N31" s="34">
        <f t="shared" si="7"/>
        <v>9520</v>
      </c>
      <c r="O31" s="35">
        <f t="shared" si="3"/>
        <v>26635</v>
      </c>
    </row>
    <row r="32" spans="1:15" ht="30" customHeight="1" x14ac:dyDescent="0.25">
      <c r="A32" s="24">
        <v>29</v>
      </c>
      <c r="B32" s="25" t="s">
        <v>74</v>
      </c>
      <c r="C32" s="26" t="s">
        <v>75</v>
      </c>
      <c r="D32" s="27">
        <v>1</v>
      </c>
      <c r="E32" s="28">
        <f>$E$1*F32</f>
        <v>24</v>
      </c>
      <c r="F32" s="29">
        <v>1</v>
      </c>
      <c r="G32" s="30">
        <v>7300</v>
      </c>
      <c r="H32" s="31"/>
      <c r="I32" s="32"/>
      <c r="J32" s="33"/>
      <c r="K32" s="21"/>
      <c r="L32" s="34">
        <f t="shared" si="1"/>
        <v>2755</v>
      </c>
      <c r="M32" s="34">
        <f t="shared" si="6"/>
        <v>5070</v>
      </c>
      <c r="N32" s="34">
        <f t="shared" si="7"/>
        <v>7000</v>
      </c>
      <c r="O32" s="35">
        <f t="shared" si="3"/>
        <v>14825</v>
      </c>
    </row>
    <row r="33" spans="1:15" ht="30" customHeight="1" x14ac:dyDescent="0.25">
      <c r="A33" s="24">
        <v>30</v>
      </c>
      <c r="B33" s="25" t="s">
        <v>76</v>
      </c>
      <c r="C33" s="26" t="s">
        <v>77</v>
      </c>
      <c r="D33" s="27">
        <v>1</v>
      </c>
      <c r="E33" s="28">
        <f>$E$1*F33</f>
        <v>24</v>
      </c>
      <c r="F33" s="29">
        <v>1</v>
      </c>
      <c r="G33" s="30"/>
      <c r="H33" s="31"/>
      <c r="I33" s="32"/>
      <c r="J33" s="33"/>
      <c r="K33" s="37">
        <v>71971</v>
      </c>
      <c r="L33" s="34">
        <f t="shared" si="1"/>
        <v>10055</v>
      </c>
      <c r="M33" s="34">
        <f t="shared" si="6"/>
        <v>5070</v>
      </c>
      <c r="N33" s="34">
        <f t="shared" si="7"/>
        <v>7000</v>
      </c>
      <c r="O33" s="35">
        <f t="shared" si="3"/>
        <v>94096</v>
      </c>
    </row>
    <row r="34" spans="1:15" ht="30" customHeight="1" x14ac:dyDescent="0.25">
      <c r="A34" s="24">
        <v>31</v>
      </c>
      <c r="B34" s="25" t="s">
        <v>78</v>
      </c>
      <c r="C34" s="26" t="s">
        <v>79</v>
      </c>
      <c r="D34" s="27">
        <v>1</v>
      </c>
      <c r="E34" s="28">
        <f>$E$1*F34</f>
        <v>24</v>
      </c>
      <c r="F34" s="29">
        <v>1</v>
      </c>
      <c r="G34" s="40"/>
      <c r="H34" s="31"/>
      <c r="I34" s="32"/>
      <c r="J34" s="33"/>
      <c r="K34" s="37">
        <v>24165</v>
      </c>
      <c r="L34" s="34">
        <f t="shared" si="1"/>
        <v>10055</v>
      </c>
      <c r="M34" s="34">
        <f t="shared" si="6"/>
        <v>5070</v>
      </c>
      <c r="N34" s="34">
        <f t="shared" si="7"/>
        <v>7000</v>
      </c>
      <c r="O34" s="35">
        <f t="shared" si="3"/>
        <v>46290</v>
      </c>
    </row>
    <row r="35" spans="1:15" ht="30" customHeight="1" x14ac:dyDescent="0.25">
      <c r="A35" s="24">
        <v>32</v>
      </c>
      <c r="B35" s="25" t="s">
        <v>80</v>
      </c>
      <c r="C35" s="41" t="s">
        <v>81</v>
      </c>
      <c r="D35" s="42">
        <v>1</v>
      </c>
      <c r="E35" s="43">
        <v>66</v>
      </c>
      <c r="F35" s="44">
        <f>E35/24</f>
        <v>2.75</v>
      </c>
      <c r="G35" s="40">
        <v>13905</v>
      </c>
      <c r="H35" s="45">
        <v>745</v>
      </c>
      <c r="I35" s="46">
        <v>9600</v>
      </c>
      <c r="J35" s="47"/>
      <c r="K35" s="21"/>
      <c r="L35" s="34">
        <f t="shared" si="1"/>
        <v>0</v>
      </c>
      <c r="M35" s="34">
        <f t="shared" si="6"/>
        <v>8175</v>
      </c>
      <c r="N35" s="34">
        <f t="shared" si="7"/>
        <v>9650</v>
      </c>
      <c r="O35" s="35">
        <f t="shared" si="3"/>
        <v>17825</v>
      </c>
    </row>
    <row r="36" spans="1:15" ht="30" customHeight="1" x14ac:dyDescent="0.25">
      <c r="A36" s="24">
        <v>33</v>
      </c>
      <c r="B36" s="25" t="s">
        <v>82</v>
      </c>
      <c r="C36" s="38" t="s">
        <v>83</v>
      </c>
      <c r="D36" s="27">
        <v>1</v>
      </c>
      <c r="E36" s="28">
        <f t="shared" ref="E36:E99" si="8">$E$1*F36</f>
        <v>24</v>
      </c>
      <c r="F36" s="29">
        <v>1</v>
      </c>
      <c r="G36" s="40"/>
      <c r="H36" s="31"/>
      <c r="I36" s="32"/>
      <c r="J36" s="33"/>
      <c r="K36" s="37">
        <v>38165</v>
      </c>
      <c r="L36" s="34">
        <f t="shared" si="1"/>
        <v>10055</v>
      </c>
      <c r="M36" s="34">
        <f t="shared" si="6"/>
        <v>5070</v>
      </c>
      <c r="N36" s="34">
        <f t="shared" si="7"/>
        <v>7000</v>
      </c>
      <c r="O36" s="35">
        <f t="shared" si="3"/>
        <v>60290</v>
      </c>
    </row>
    <row r="37" spans="1:15" ht="30" customHeight="1" x14ac:dyDescent="0.25">
      <c r="A37" s="24">
        <v>34</v>
      </c>
      <c r="B37" s="25" t="s">
        <v>84</v>
      </c>
      <c r="C37" s="26" t="s">
        <v>85</v>
      </c>
      <c r="D37" s="27">
        <v>1</v>
      </c>
      <c r="E37" s="28">
        <f t="shared" si="8"/>
        <v>24</v>
      </c>
      <c r="F37" s="29">
        <v>1</v>
      </c>
      <c r="G37" s="40">
        <v>10055</v>
      </c>
      <c r="H37" s="31"/>
      <c r="I37" s="32">
        <v>2500</v>
      </c>
      <c r="J37" s="33"/>
      <c r="K37" s="21"/>
      <c r="L37" s="34">
        <f t="shared" si="1"/>
        <v>0</v>
      </c>
      <c r="M37" s="34">
        <f t="shared" si="6"/>
        <v>5070</v>
      </c>
      <c r="N37" s="34">
        <f t="shared" si="7"/>
        <v>4500</v>
      </c>
      <c r="O37" s="35">
        <f t="shared" si="3"/>
        <v>9570</v>
      </c>
    </row>
    <row r="38" spans="1:15" ht="30" customHeight="1" x14ac:dyDescent="0.25">
      <c r="A38" s="24">
        <v>35</v>
      </c>
      <c r="B38" s="25" t="s">
        <v>86</v>
      </c>
      <c r="C38" s="39" t="s">
        <v>87</v>
      </c>
      <c r="D38" s="27">
        <v>1</v>
      </c>
      <c r="E38" s="28">
        <f t="shared" si="8"/>
        <v>24</v>
      </c>
      <c r="F38" s="29">
        <v>1</v>
      </c>
      <c r="G38" s="40">
        <v>500</v>
      </c>
      <c r="H38" s="31"/>
      <c r="I38" s="32"/>
      <c r="J38" s="33"/>
      <c r="K38" s="21"/>
      <c r="L38" s="34">
        <f t="shared" si="1"/>
        <v>9555</v>
      </c>
      <c r="M38" s="34">
        <f t="shared" si="6"/>
        <v>5070</v>
      </c>
      <c r="N38" s="34">
        <f t="shared" si="7"/>
        <v>7000</v>
      </c>
      <c r="O38" s="35">
        <f t="shared" si="3"/>
        <v>21625</v>
      </c>
    </row>
    <row r="39" spans="1:15" ht="30" customHeight="1" x14ac:dyDescent="0.25">
      <c r="A39" s="24">
        <v>36</v>
      </c>
      <c r="B39" s="25" t="s">
        <v>88</v>
      </c>
      <c r="C39" s="26" t="s">
        <v>89</v>
      </c>
      <c r="D39" s="27">
        <v>1</v>
      </c>
      <c r="E39" s="28">
        <f t="shared" si="8"/>
        <v>24</v>
      </c>
      <c r="F39" s="29">
        <v>1</v>
      </c>
      <c r="G39" s="40"/>
      <c r="H39" s="31"/>
      <c r="I39" s="32"/>
      <c r="J39" s="33"/>
      <c r="K39" s="37">
        <v>77582</v>
      </c>
      <c r="L39" s="34">
        <f t="shared" si="1"/>
        <v>10055</v>
      </c>
      <c r="M39" s="34">
        <f t="shared" si="6"/>
        <v>5070</v>
      </c>
      <c r="N39" s="34">
        <f t="shared" si="7"/>
        <v>7000</v>
      </c>
      <c r="O39" s="35">
        <f t="shared" si="3"/>
        <v>99707</v>
      </c>
    </row>
    <row r="40" spans="1:15" ht="30" customHeight="1" x14ac:dyDescent="0.25">
      <c r="A40" s="24">
        <v>37</v>
      </c>
      <c r="B40" s="25" t="s">
        <v>90</v>
      </c>
      <c r="C40" s="41" t="s">
        <v>91</v>
      </c>
      <c r="D40" s="27">
        <v>1</v>
      </c>
      <c r="E40" s="28">
        <f t="shared" si="8"/>
        <v>24</v>
      </c>
      <c r="F40" s="29">
        <v>1</v>
      </c>
      <c r="G40" s="40">
        <v>10055</v>
      </c>
      <c r="H40" s="31"/>
      <c r="I40" s="32">
        <f>5000</f>
        <v>5000</v>
      </c>
      <c r="J40" s="33"/>
      <c r="K40" s="21"/>
      <c r="L40" s="34">
        <f t="shared" si="1"/>
        <v>0</v>
      </c>
      <c r="M40" s="34">
        <f t="shared" si="6"/>
        <v>5070</v>
      </c>
      <c r="N40" s="34">
        <f t="shared" si="7"/>
        <v>2000</v>
      </c>
      <c r="O40" s="35">
        <f t="shared" si="3"/>
        <v>7070</v>
      </c>
    </row>
    <row r="41" spans="1:15" ht="30" customHeight="1" x14ac:dyDescent="0.25">
      <c r="A41" s="24">
        <v>38</v>
      </c>
      <c r="B41" s="25" t="s">
        <v>92</v>
      </c>
      <c r="C41" s="26" t="s">
        <v>93</v>
      </c>
      <c r="D41" s="27">
        <v>1</v>
      </c>
      <c r="E41" s="28">
        <f t="shared" si="8"/>
        <v>24</v>
      </c>
      <c r="F41" s="29">
        <v>1</v>
      </c>
      <c r="G41" s="40">
        <f>5000+2000</f>
        <v>7000</v>
      </c>
      <c r="H41" s="31">
        <f>800</f>
        <v>800</v>
      </c>
      <c r="I41" s="32">
        <f>3000+4000</f>
        <v>7000</v>
      </c>
      <c r="J41" s="33"/>
      <c r="K41" s="21"/>
      <c r="L41" s="34">
        <f t="shared" si="1"/>
        <v>3055</v>
      </c>
      <c r="M41" s="34">
        <f t="shared" si="6"/>
        <v>4270</v>
      </c>
      <c r="N41" s="34">
        <f t="shared" si="7"/>
        <v>0</v>
      </c>
      <c r="O41" s="35">
        <f t="shared" si="3"/>
        <v>7325</v>
      </c>
    </row>
    <row r="42" spans="1:15" ht="30" customHeight="1" x14ac:dyDescent="0.25">
      <c r="A42" s="24">
        <v>39</v>
      </c>
      <c r="B42" s="25" t="s">
        <v>94</v>
      </c>
      <c r="C42" s="26" t="s">
        <v>95</v>
      </c>
      <c r="D42" s="27">
        <v>1</v>
      </c>
      <c r="E42" s="28">
        <f t="shared" si="8"/>
        <v>24</v>
      </c>
      <c r="F42" s="29">
        <v>1</v>
      </c>
      <c r="G42" s="40">
        <v>10055</v>
      </c>
      <c r="H42" s="31"/>
      <c r="I42" s="32">
        <v>7000</v>
      </c>
      <c r="J42" s="33"/>
      <c r="K42" s="21"/>
      <c r="L42" s="34">
        <f t="shared" si="1"/>
        <v>0</v>
      </c>
      <c r="M42" s="34">
        <f t="shared" si="6"/>
        <v>5070</v>
      </c>
      <c r="N42" s="34">
        <f t="shared" si="7"/>
        <v>0</v>
      </c>
      <c r="O42" s="35">
        <f t="shared" si="3"/>
        <v>5070</v>
      </c>
    </row>
    <row r="43" spans="1:15" ht="30" customHeight="1" x14ac:dyDescent="0.25">
      <c r="A43" s="24">
        <v>40</v>
      </c>
      <c r="B43" s="25" t="s">
        <v>96</v>
      </c>
      <c r="C43" s="26" t="s">
        <v>97</v>
      </c>
      <c r="D43" s="27">
        <v>1</v>
      </c>
      <c r="E43" s="28">
        <f t="shared" si="8"/>
        <v>24</v>
      </c>
      <c r="F43" s="29">
        <v>1</v>
      </c>
      <c r="G43" s="40"/>
      <c r="H43" s="31"/>
      <c r="I43" s="32"/>
      <c r="J43" s="33"/>
      <c r="K43" s="21"/>
      <c r="L43" s="34">
        <f t="shared" si="1"/>
        <v>10055</v>
      </c>
      <c r="M43" s="34">
        <f t="shared" si="6"/>
        <v>5070</v>
      </c>
      <c r="N43" s="34">
        <f t="shared" si="7"/>
        <v>7000</v>
      </c>
      <c r="O43" s="35">
        <f t="shared" si="3"/>
        <v>22125</v>
      </c>
    </row>
    <row r="44" spans="1:15" ht="30" customHeight="1" x14ac:dyDescent="0.25">
      <c r="A44" s="24">
        <v>41</v>
      </c>
      <c r="B44" s="25" t="s">
        <v>98</v>
      </c>
      <c r="C44" s="26" t="s">
        <v>99</v>
      </c>
      <c r="D44" s="27">
        <v>1</v>
      </c>
      <c r="E44" s="28">
        <f t="shared" si="8"/>
        <v>24</v>
      </c>
      <c r="F44" s="29">
        <v>1</v>
      </c>
      <c r="G44" s="40">
        <v>10055</v>
      </c>
      <c r="H44" s="31">
        <v>4000</v>
      </c>
      <c r="I44" s="32">
        <f>4000+3000</f>
        <v>7000</v>
      </c>
      <c r="J44" s="33"/>
      <c r="K44" s="21"/>
      <c r="L44" s="34">
        <f t="shared" si="1"/>
        <v>0</v>
      </c>
      <c r="M44" s="34">
        <f t="shared" si="6"/>
        <v>1070</v>
      </c>
      <c r="N44" s="34">
        <f t="shared" si="7"/>
        <v>0</v>
      </c>
      <c r="O44" s="35">
        <f t="shared" si="3"/>
        <v>1070</v>
      </c>
    </row>
    <row r="45" spans="1:15" ht="30" customHeight="1" x14ac:dyDescent="0.25">
      <c r="A45" s="24">
        <v>42</v>
      </c>
      <c r="B45" s="25" t="s">
        <v>100</v>
      </c>
      <c r="C45" s="26" t="s">
        <v>101</v>
      </c>
      <c r="D45" s="27">
        <v>1</v>
      </c>
      <c r="E45" s="28">
        <f t="shared" si="8"/>
        <v>24</v>
      </c>
      <c r="F45" s="29">
        <v>1</v>
      </c>
      <c r="G45" s="40">
        <v>10055</v>
      </c>
      <c r="H45" s="31"/>
      <c r="I45" s="32">
        <f>2000+2000</f>
        <v>4000</v>
      </c>
      <c r="J45" s="33"/>
      <c r="K45" s="21"/>
      <c r="L45" s="34">
        <f t="shared" si="1"/>
        <v>0</v>
      </c>
      <c r="M45" s="34">
        <f t="shared" si="6"/>
        <v>5070</v>
      </c>
      <c r="N45" s="34">
        <f t="shared" si="7"/>
        <v>3000</v>
      </c>
      <c r="O45" s="35">
        <f t="shared" si="3"/>
        <v>8070</v>
      </c>
    </row>
    <row r="46" spans="1:15" ht="30" customHeight="1" x14ac:dyDescent="0.25">
      <c r="A46" s="24">
        <v>43</v>
      </c>
      <c r="B46" s="25" t="s">
        <v>102</v>
      </c>
      <c r="C46" s="26" t="s">
        <v>103</v>
      </c>
      <c r="D46" s="27">
        <v>1</v>
      </c>
      <c r="E46" s="28">
        <f t="shared" si="8"/>
        <v>24</v>
      </c>
      <c r="F46" s="29">
        <v>1</v>
      </c>
      <c r="G46" s="40"/>
      <c r="H46" s="31"/>
      <c r="I46" s="32"/>
      <c r="J46" s="33"/>
      <c r="K46" s="37">
        <v>17956</v>
      </c>
      <c r="L46" s="34">
        <f t="shared" si="1"/>
        <v>10055</v>
      </c>
      <c r="M46" s="34">
        <f t="shared" si="6"/>
        <v>5070</v>
      </c>
      <c r="N46" s="34">
        <f t="shared" si="7"/>
        <v>7000</v>
      </c>
      <c r="O46" s="35">
        <f t="shared" si="3"/>
        <v>40081</v>
      </c>
    </row>
    <row r="47" spans="1:15" ht="30" customHeight="1" x14ac:dyDescent="0.25">
      <c r="A47" s="24">
        <v>44</v>
      </c>
      <c r="B47" s="25" t="s">
        <v>104</v>
      </c>
      <c r="C47" s="26" t="s">
        <v>105</v>
      </c>
      <c r="D47" s="27">
        <v>1</v>
      </c>
      <c r="E47" s="28">
        <f t="shared" si="8"/>
        <v>24</v>
      </c>
      <c r="F47" s="29">
        <v>1</v>
      </c>
      <c r="G47" s="40">
        <v>10055</v>
      </c>
      <c r="H47" s="31">
        <f>1000+3000</f>
        <v>4000</v>
      </c>
      <c r="I47" s="32">
        <v>7000</v>
      </c>
      <c r="J47" s="33"/>
      <c r="K47" s="21"/>
      <c r="L47" s="34">
        <f t="shared" si="1"/>
        <v>0</v>
      </c>
      <c r="M47" s="34">
        <f t="shared" si="6"/>
        <v>1070</v>
      </c>
      <c r="N47" s="34">
        <f t="shared" si="7"/>
        <v>0</v>
      </c>
      <c r="O47" s="35">
        <f t="shared" si="3"/>
        <v>1070</v>
      </c>
    </row>
    <row r="48" spans="1:15" ht="30" customHeight="1" x14ac:dyDescent="0.25">
      <c r="A48" s="24">
        <v>45</v>
      </c>
      <c r="B48" s="25" t="s">
        <v>106</v>
      </c>
      <c r="C48" s="26" t="s">
        <v>107</v>
      </c>
      <c r="D48" s="27">
        <v>1</v>
      </c>
      <c r="E48" s="28">
        <f t="shared" si="8"/>
        <v>24</v>
      </c>
      <c r="F48" s="29">
        <v>1</v>
      </c>
      <c r="G48" s="40"/>
      <c r="H48" s="31"/>
      <c r="I48" s="32"/>
      <c r="J48" s="33"/>
      <c r="K48" s="37">
        <v>19234</v>
      </c>
      <c r="L48" s="34">
        <f t="shared" si="1"/>
        <v>10055</v>
      </c>
      <c r="M48" s="34">
        <f t="shared" si="6"/>
        <v>5070</v>
      </c>
      <c r="N48" s="34">
        <f t="shared" si="7"/>
        <v>7000</v>
      </c>
      <c r="O48" s="35">
        <f t="shared" si="3"/>
        <v>41359</v>
      </c>
    </row>
    <row r="49" spans="1:15" ht="30" customHeight="1" x14ac:dyDescent="0.25">
      <c r="A49" s="24">
        <v>46</v>
      </c>
      <c r="B49" s="25" t="s">
        <v>108</v>
      </c>
      <c r="C49" s="26" t="s">
        <v>109</v>
      </c>
      <c r="D49" s="27">
        <v>1</v>
      </c>
      <c r="E49" s="28">
        <f t="shared" si="8"/>
        <v>24</v>
      </c>
      <c r="F49" s="29">
        <v>1</v>
      </c>
      <c r="G49" s="40">
        <v>10055</v>
      </c>
      <c r="H49" s="31"/>
      <c r="I49" s="32">
        <v>7000</v>
      </c>
      <c r="J49" s="33"/>
      <c r="K49" s="21"/>
      <c r="L49" s="34">
        <f t="shared" si="1"/>
        <v>0</v>
      </c>
      <c r="M49" s="34">
        <f t="shared" si="6"/>
        <v>5070</v>
      </c>
      <c r="N49" s="34">
        <f t="shared" si="7"/>
        <v>0</v>
      </c>
      <c r="O49" s="35">
        <f t="shared" si="3"/>
        <v>5070</v>
      </c>
    </row>
    <row r="50" spans="1:15" ht="30" customHeight="1" x14ac:dyDescent="0.25">
      <c r="A50" s="24">
        <v>47</v>
      </c>
      <c r="B50" s="25" t="s">
        <v>110</v>
      </c>
      <c r="C50" s="26" t="s">
        <v>111</v>
      </c>
      <c r="D50" s="27">
        <v>1</v>
      </c>
      <c r="E50" s="28">
        <f t="shared" si="8"/>
        <v>24</v>
      </c>
      <c r="F50" s="29">
        <v>1</v>
      </c>
      <c r="G50" s="40"/>
      <c r="H50" s="31"/>
      <c r="I50" s="32"/>
      <c r="J50" s="33"/>
      <c r="K50" s="37">
        <v>27737</v>
      </c>
      <c r="L50" s="34">
        <f t="shared" si="1"/>
        <v>10055</v>
      </c>
      <c r="M50" s="34">
        <f t="shared" si="6"/>
        <v>5070</v>
      </c>
      <c r="N50" s="34">
        <f t="shared" si="7"/>
        <v>7000</v>
      </c>
      <c r="O50" s="35">
        <f t="shared" si="3"/>
        <v>49862</v>
      </c>
    </row>
    <row r="51" spans="1:15" ht="30" customHeight="1" x14ac:dyDescent="0.25">
      <c r="A51" s="24">
        <v>48</v>
      </c>
      <c r="B51" s="25" t="s">
        <v>112</v>
      </c>
      <c r="C51" s="26" t="s">
        <v>113</v>
      </c>
      <c r="D51" s="36">
        <v>0</v>
      </c>
      <c r="E51" s="28">
        <f t="shared" si="8"/>
        <v>24</v>
      </c>
      <c r="F51" s="29">
        <v>1</v>
      </c>
      <c r="G51" s="40"/>
      <c r="H51" s="31"/>
      <c r="I51" s="32"/>
      <c r="J51" s="33"/>
      <c r="K51" s="37">
        <v>13590</v>
      </c>
      <c r="L51" s="34">
        <f t="shared" si="1"/>
        <v>10055</v>
      </c>
      <c r="M51" s="34">
        <f>(2200*F51)+2870-H51-1000</f>
        <v>4070</v>
      </c>
      <c r="N51" s="34">
        <v>0</v>
      </c>
      <c r="O51" s="35">
        <f t="shared" si="3"/>
        <v>27715</v>
      </c>
    </row>
    <row r="52" spans="1:15" ht="30" customHeight="1" x14ac:dyDescent="0.25">
      <c r="A52" s="24">
        <v>49</v>
      </c>
      <c r="B52" s="25" t="s">
        <v>114</v>
      </c>
      <c r="C52" s="26" t="s">
        <v>115</v>
      </c>
      <c r="D52" s="36">
        <v>0</v>
      </c>
      <c r="E52" s="28">
        <f t="shared" si="8"/>
        <v>24</v>
      </c>
      <c r="F52" s="29">
        <v>1</v>
      </c>
      <c r="G52" s="40">
        <v>10055</v>
      </c>
      <c r="H52" s="31">
        <v>2000</v>
      </c>
      <c r="I52" s="32">
        <v>0</v>
      </c>
      <c r="J52" s="33">
        <v>0</v>
      </c>
      <c r="K52" s="21"/>
      <c r="L52" s="34">
        <f t="shared" si="1"/>
        <v>0</v>
      </c>
      <c r="M52" s="34">
        <f>(2200*F52)+2870-H52-1000</f>
        <v>2070</v>
      </c>
      <c r="N52" s="34">
        <v>0</v>
      </c>
      <c r="O52" s="35">
        <f t="shared" si="3"/>
        <v>2070</v>
      </c>
    </row>
    <row r="53" spans="1:15" ht="30" customHeight="1" x14ac:dyDescent="0.25">
      <c r="A53" s="24">
        <v>50</v>
      </c>
      <c r="B53" s="25" t="s">
        <v>116</v>
      </c>
      <c r="C53" s="26" t="s">
        <v>117</v>
      </c>
      <c r="D53" s="27">
        <v>1</v>
      </c>
      <c r="E53" s="28">
        <f t="shared" si="8"/>
        <v>24</v>
      </c>
      <c r="F53" s="29">
        <v>1</v>
      </c>
      <c r="G53" s="40">
        <v>10055</v>
      </c>
      <c r="H53" s="31"/>
      <c r="I53" s="32"/>
      <c r="J53" s="33"/>
      <c r="K53" s="21"/>
      <c r="L53" s="34">
        <f t="shared" si="1"/>
        <v>0</v>
      </c>
      <c r="M53" s="34">
        <f t="shared" ref="M53:M58" si="9">(2200*F53)+2870-H53</f>
        <v>5070</v>
      </c>
      <c r="N53" s="34">
        <f t="shared" ref="N53:N58" si="10">7000*F53-I53-J53</f>
        <v>7000</v>
      </c>
      <c r="O53" s="35">
        <f t="shared" si="3"/>
        <v>12070</v>
      </c>
    </row>
    <row r="54" spans="1:15" ht="30" customHeight="1" x14ac:dyDescent="0.25">
      <c r="A54" s="24">
        <v>51</v>
      </c>
      <c r="B54" s="25" t="s">
        <v>118</v>
      </c>
      <c r="C54" s="26" t="s">
        <v>119</v>
      </c>
      <c r="D54" s="27">
        <v>1</v>
      </c>
      <c r="E54" s="28">
        <f t="shared" si="8"/>
        <v>24</v>
      </c>
      <c r="F54" s="29">
        <v>1</v>
      </c>
      <c r="G54" s="40"/>
      <c r="H54" s="31"/>
      <c r="I54" s="32"/>
      <c r="J54" s="33"/>
      <c r="K54" s="37">
        <f>20489-10000</f>
        <v>10489</v>
      </c>
      <c r="L54" s="34">
        <f t="shared" si="1"/>
        <v>10055</v>
      </c>
      <c r="M54" s="34">
        <f t="shared" si="9"/>
        <v>5070</v>
      </c>
      <c r="N54" s="34">
        <f t="shared" si="10"/>
        <v>7000</v>
      </c>
      <c r="O54" s="35">
        <f t="shared" si="3"/>
        <v>32614</v>
      </c>
    </row>
    <row r="55" spans="1:15" ht="30" customHeight="1" x14ac:dyDescent="0.25">
      <c r="A55" s="24">
        <v>52</v>
      </c>
      <c r="B55" s="25" t="s">
        <v>120</v>
      </c>
      <c r="C55" s="26" t="s">
        <v>121</v>
      </c>
      <c r="D55" s="27">
        <v>1</v>
      </c>
      <c r="E55" s="28">
        <f t="shared" si="8"/>
        <v>24</v>
      </c>
      <c r="F55" s="29">
        <v>1</v>
      </c>
      <c r="G55" s="40">
        <v>10055</v>
      </c>
      <c r="H55" s="31"/>
      <c r="I55" s="32">
        <v>5000</v>
      </c>
      <c r="J55" s="33"/>
      <c r="K55" s="21"/>
      <c r="L55" s="34">
        <f t="shared" si="1"/>
        <v>0</v>
      </c>
      <c r="M55" s="34">
        <f t="shared" si="9"/>
        <v>5070</v>
      </c>
      <c r="N55" s="34">
        <f t="shared" si="10"/>
        <v>2000</v>
      </c>
      <c r="O55" s="35">
        <f t="shared" si="3"/>
        <v>7070</v>
      </c>
    </row>
    <row r="56" spans="1:15" ht="30" customHeight="1" x14ac:dyDescent="0.25">
      <c r="A56" s="24">
        <v>53</v>
      </c>
      <c r="B56" s="25" t="s">
        <v>122</v>
      </c>
      <c r="C56" s="26" t="s">
        <v>123</v>
      </c>
      <c r="D56" s="27">
        <v>1</v>
      </c>
      <c r="E56" s="28">
        <f t="shared" si="8"/>
        <v>24</v>
      </c>
      <c r="F56" s="29">
        <v>1</v>
      </c>
      <c r="G56" s="40">
        <v>10000</v>
      </c>
      <c r="H56" s="31">
        <v>5000</v>
      </c>
      <c r="I56" s="32">
        <v>6000</v>
      </c>
      <c r="J56" s="33"/>
      <c r="K56" s="21"/>
      <c r="L56" s="34">
        <f t="shared" si="1"/>
        <v>55</v>
      </c>
      <c r="M56" s="34">
        <f t="shared" si="9"/>
        <v>70</v>
      </c>
      <c r="N56" s="34">
        <f t="shared" si="10"/>
        <v>1000</v>
      </c>
      <c r="O56" s="35">
        <f t="shared" si="3"/>
        <v>1125</v>
      </c>
    </row>
    <row r="57" spans="1:15" ht="30" customHeight="1" x14ac:dyDescent="0.25">
      <c r="A57" s="24">
        <v>54</v>
      </c>
      <c r="B57" s="25" t="s">
        <v>124</v>
      </c>
      <c r="C57" s="26" t="s">
        <v>125</v>
      </c>
      <c r="D57" s="27">
        <v>1</v>
      </c>
      <c r="E57" s="28">
        <f t="shared" si="8"/>
        <v>24</v>
      </c>
      <c r="F57" s="29">
        <v>1</v>
      </c>
      <c r="G57" s="40">
        <f>5000+5055</f>
        <v>10055</v>
      </c>
      <c r="H57" s="31">
        <v>2500</v>
      </c>
      <c r="I57" s="32">
        <v>7000</v>
      </c>
      <c r="J57" s="33"/>
      <c r="K57" s="21"/>
      <c r="L57" s="34">
        <f t="shared" si="1"/>
        <v>0</v>
      </c>
      <c r="M57" s="34">
        <f t="shared" si="9"/>
        <v>2570</v>
      </c>
      <c r="N57" s="34">
        <f t="shared" si="10"/>
        <v>0</v>
      </c>
      <c r="O57" s="35">
        <f t="shared" si="3"/>
        <v>2570</v>
      </c>
    </row>
    <row r="58" spans="1:15" ht="30" customHeight="1" x14ac:dyDescent="0.25">
      <c r="A58" s="24">
        <v>55</v>
      </c>
      <c r="B58" s="25" t="s">
        <v>126</v>
      </c>
      <c r="C58" s="48" t="s">
        <v>127</v>
      </c>
      <c r="D58" s="49">
        <v>1</v>
      </c>
      <c r="E58" s="50">
        <f t="shared" si="8"/>
        <v>24</v>
      </c>
      <c r="F58" s="51">
        <v>1</v>
      </c>
      <c r="G58" s="52"/>
      <c r="H58" s="53"/>
      <c r="I58" s="19"/>
      <c r="J58" s="54"/>
      <c r="K58" s="37">
        <f>50863-50000</f>
        <v>863</v>
      </c>
      <c r="L58" s="34">
        <f t="shared" si="1"/>
        <v>10055</v>
      </c>
      <c r="M58" s="34">
        <f t="shared" si="9"/>
        <v>5070</v>
      </c>
      <c r="N58" s="34">
        <f t="shared" si="10"/>
        <v>7000</v>
      </c>
      <c r="O58" s="35">
        <f t="shared" si="3"/>
        <v>22988</v>
      </c>
    </row>
    <row r="59" spans="1:15" ht="30" customHeight="1" x14ac:dyDescent="0.25">
      <c r="A59" s="24">
        <v>56</v>
      </c>
      <c r="B59" s="25" t="s">
        <v>128</v>
      </c>
      <c r="C59" s="26" t="s">
        <v>129</v>
      </c>
      <c r="D59" s="36">
        <v>0</v>
      </c>
      <c r="E59" s="28">
        <f t="shared" si="8"/>
        <v>24</v>
      </c>
      <c r="F59" s="29">
        <v>1</v>
      </c>
      <c r="G59" s="40"/>
      <c r="H59" s="31"/>
      <c r="I59" s="32">
        <v>0</v>
      </c>
      <c r="J59" s="33">
        <v>0</v>
      </c>
      <c r="K59" s="37">
        <f>12770-11000</f>
        <v>1770</v>
      </c>
      <c r="L59" s="34">
        <f t="shared" si="1"/>
        <v>10055</v>
      </c>
      <c r="M59" s="34">
        <f>(2200*F59)+2870-H59-1000</f>
        <v>4070</v>
      </c>
      <c r="N59" s="34">
        <v>0</v>
      </c>
      <c r="O59" s="35">
        <f t="shared" si="3"/>
        <v>15895</v>
      </c>
    </row>
    <row r="60" spans="1:15" ht="30" customHeight="1" x14ac:dyDescent="0.25">
      <c r="A60" s="24">
        <v>57</v>
      </c>
      <c r="B60" s="25" t="s">
        <v>130</v>
      </c>
      <c r="C60" s="26" t="s">
        <v>131</v>
      </c>
      <c r="D60" s="27">
        <v>1</v>
      </c>
      <c r="E60" s="28">
        <f t="shared" si="8"/>
        <v>24</v>
      </c>
      <c r="F60" s="29">
        <v>1</v>
      </c>
      <c r="G60" s="40">
        <v>10055</v>
      </c>
      <c r="H60" s="31"/>
      <c r="I60" s="32">
        <v>7000</v>
      </c>
      <c r="J60" s="33"/>
      <c r="K60" s="21"/>
      <c r="L60" s="34">
        <f t="shared" si="1"/>
        <v>0</v>
      </c>
      <c r="M60" s="34">
        <f t="shared" ref="M60:M123" si="11">(2200*F60)+2870-H60</f>
        <v>5070</v>
      </c>
      <c r="N60" s="34">
        <f t="shared" ref="N60:N123" si="12">7000*F60-I60-J60</f>
        <v>0</v>
      </c>
      <c r="O60" s="35">
        <f t="shared" si="3"/>
        <v>5070</v>
      </c>
    </row>
    <row r="61" spans="1:15" ht="30" customHeight="1" x14ac:dyDescent="0.25">
      <c r="A61" s="24">
        <v>58</v>
      </c>
      <c r="B61" s="25" t="s">
        <v>132</v>
      </c>
      <c r="C61" s="26" t="s">
        <v>133</v>
      </c>
      <c r="D61" s="27">
        <v>1</v>
      </c>
      <c r="E61" s="28">
        <f t="shared" si="8"/>
        <v>24</v>
      </c>
      <c r="F61" s="29">
        <v>1</v>
      </c>
      <c r="G61" s="40"/>
      <c r="H61" s="31"/>
      <c r="I61" s="32"/>
      <c r="J61" s="33"/>
      <c r="K61" s="37">
        <v>22071</v>
      </c>
      <c r="L61" s="34">
        <f t="shared" si="1"/>
        <v>10055</v>
      </c>
      <c r="M61" s="34">
        <f t="shared" si="11"/>
        <v>5070</v>
      </c>
      <c r="N61" s="34">
        <f t="shared" si="12"/>
        <v>7000</v>
      </c>
      <c r="O61" s="35">
        <f t="shared" si="3"/>
        <v>44196</v>
      </c>
    </row>
    <row r="62" spans="1:15" ht="30" customHeight="1" x14ac:dyDescent="0.25">
      <c r="A62" s="24">
        <v>59</v>
      </c>
      <c r="B62" s="25" t="s">
        <v>134</v>
      </c>
      <c r="C62" s="26" t="s">
        <v>135</v>
      </c>
      <c r="D62" s="27">
        <v>1</v>
      </c>
      <c r="E62" s="28">
        <f t="shared" si="8"/>
        <v>24</v>
      </c>
      <c r="F62" s="29">
        <v>1</v>
      </c>
      <c r="G62" s="40"/>
      <c r="H62" s="31"/>
      <c r="I62" s="32"/>
      <c r="J62" s="33"/>
      <c r="K62" s="37">
        <v>8370</v>
      </c>
      <c r="L62" s="34">
        <f t="shared" si="1"/>
        <v>10055</v>
      </c>
      <c r="M62" s="34">
        <f t="shared" si="11"/>
        <v>5070</v>
      </c>
      <c r="N62" s="34">
        <f t="shared" si="12"/>
        <v>7000</v>
      </c>
      <c r="O62" s="35">
        <f t="shared" si="3"/>
        <v>30495</v>
      </c>
    </row>
    <row r="63" spans="1:15" ht="30" customHeight="1" x14ac:dyDescent="0.25">
      <c r="A63" s="24">
        <v>60</v>
      </c>
      <c r="B63" s="25" t="s">
        <v>136</v>
      </c>
      <c r="C63" s="26" t="s">
        <v>137</v>
      </c>
      <c r="D63" s="27">
        <v>1</v>
      </c>
      <c r="E63" s="28">
        <f t="shared" si="8"/>
        <v>24</v>
      </c>
      <c r="F63" s="29">
        <v>1</v>
      </c>
      <c r="G63" s="40"/>
      <c r="H63" s="31"/>
      <c r="I63" s="32"/>
      <c r="J63" s="33"/>
      <c r="K63" s="37">
        <v>2615</v>
      </c>
      <c r="L63" s="34">
        <f t="shared" si="1"/>
        <v>10055</v>
      </c>
      <c r="M63" s="34">
        <f t="shared" si="11"/>
        <v>5070</v>
      </c>
      <c r="N63" s="34">
        <f t="shared" si="12"/>
        <v>7000</v>
      </c>
      <c r="O63" s="35">
        <f t="shared" si="3"/>
        <v>24740</v>
      </c>
    </row>
    <row r="64" spans="1:15" ht="30" customHeight="1" x14ac:dyDescent="0.25">
      <c r="A64" s="24">
        <v>61</v>
      </c>
      <c r="B64" s="25" t="s">
        <v>138</v>
      </c>
      <c r="C64" s="26" t="s">
        <v>139</v>
      </c>
      <c r="D64" s="27">
        <v>1</v>
      </c>
      <c r="E64" s="28">
        <f t="shared" si="8"/>
        <v>24</v>
      </c>
      <c r="F64" s="29">
        <v>1</v>
      </c>
      <c r="G64" s="40"/>
      <c r="H64" s="31"/>
      <c r="I64" s="32"/>
      <c r="J64" s="33"/>
      <c r="K64" s="37">
        <v>11542</v>
      </c>
      <c r="L64" s="34">
        <f t="shared" si="1"/>
        <v>10055</v>
      </c>
      <c r="M64" s="34">
        <f t="shared" si="11"/>
        <v>5070</v>
      </c>
      <c r="N64" s="34">
        <f t="shared" si="12"/>
        <v>7000</v>
      </c>
      <c r="O64" s="35">
        <f t="shared" si="3"/>
        <v>33667</v>
      </c>
    </row>
    <row r="65" spans="1:15" ht="30.75" customHeight="1" x14ac:dyDescent="0.25">
      <c r="A65" s="24">
        <v>62</v>
      </c>
      <c r="B65" s="25" t="s">
        <v>140</v>
      </c>
      <c r="C65" s="38" t="s">
        <v>141</v>
      </c>
      <c r="D65" s="27">
        <v>1</v>
      </c>
      <c r="E65" s="28">
        <f t="shared" si="8"/>
        <v>24</v>
      </c>
      <c r="F65" s="29">
        <v>1</v>
      </c>
      <c r="G65" s="40">
        <v>10055</v>
      </c>
      <c r="H65" s="31">
        <v>2000</v>
      </c>
      <c r="I65" s="32">
        <f>3000+4000</f>
        <v>7000</v>
      </c>
      <c r="J65" s="33"/>
      <c r="K65" s="21"/>
      <c r="L65" s="34">
        <f t="shared" si="1"/>
        <v>0</v>
      </c>
      <c r="M65" s="34">
        <f t="shared" si="11"/>
        <v>3070</v>
      </c>
      <c r="N65" s="34">
        <f t="shared" si="12"/>
        <v>0</v>
      </c>
      <c r="O65" s="35">
        <f t="shared" ref="O65:O128" si="13">SUM(K65:N65)</f>
        <v>3070</v>
      </c>
    </row>
    <row r="66" spans="1:15" ht="30" customHeight="1" x14ac:dyDescent="0.25">
      <c r="A66" s="24">
        <v>63</v>
      </c>
      <c r="B66" s="25" t="s">
        <v>142</v>
      </c>
      <c r="C66" s="26" t="s">
        <v>143</v>
      </c>
      <c r="D66" s="55">
        <v>1</v>
      </c>
      <c r="E66" s="28">
        <f t="shared" si="8"/>
        <v>24</v>
      </c>
      <c r="F66" s="29">
        <v>1</v>
      </c>
      <c r="G66" s="40"/>
      <c r="H66" s="31"/>
      <c r="I66" s="32"/>
      <c r="J66" s="33"/>
      <c r="K66" s="37">
        <v>24972</v>
      </c>
      <c r="L66" s="34">
        <f t="shared" si="1"/>
        <v>10055</v>
      </c>
      <c r="M66" s="34">
        <f t="shared" si="11"/>
        <v>5070</v>
      </c>
      <c r="N66" s="34">
        <f t="shared" si="12"/>
        <v>7000</v>
      </c>
      <c r="O66" s="35">
        <f t="shared" si="13"/>
        <v>47097</v>
      </c>
    </row>
    <row r="67" spans="1:15" ht="30" customHeight="1" x14ac:dyDescent="0.25">
      <c r="A67" s="24">
        <v>64</v>
      </c>
      <c r="B67" s="25" t="s">
        <v>144</v>
      </c>
      <c r="C67" s="26" t="s">
        <v>145</v>
      </c>
      <c r="D67" s="55">
        <v>1</v>
      </c>
      <c r="E67" s="28">
        <f t="shared" si="8"/>
        <v>24</v>
      </c>
      <c r="F67" s="29">
        <v>1</v>
      </c>
      <c r="G67" s="40">
        <f>4800+4000+1255</f>
        <v>10055</v>
      </c>
      <c r="H67" s="31"/>
      <c r="I67" s="32">
        <v>3145</v>
      </c>
      <c r="J67" s="33"/>
      <c r="K67" s="21"/>
      <c r="L67" s="34">
        <f t="shared" si="1"/>
        <v>0</v>
      </c>
      <c r="M67" s="34">
        <f t="shared" si="11"/>
        <v>5070</v>
      </c>
      <c r="N67" s="34">
        <f t="shared" si="12"/>
        <v>3855</v>
      </c>
      <c r="O67" s="35">
        <f t="shared" si="13"/>
        <v>8925</v>
      </c>
    </row>
    <row r="68" spans="1:15" ht="30" customHeight="1" x14ac:dyDescent="0.25">
      <c r="A68" s="24">
        <v>65</v>
      </c>
      <c r="B68" s="25" t="s">
        <v>146</v>
      </c>
      <c r="C68" s="26" t="s">
        <v>147</v>
      </c>
      <c r="D68" s="55">
        <v>1</v>
      </c>
      <c r="E68" s="28">
        <f t="shared" si="8"/>
        <v>24</v>
      </c>
      <c r="F68" s="29">
        <v>1</v>
      </c>
      <c r="G68" s="40">
        <v>10055</v>
      </c>
      <c r="H68" s="31"/>
      <c r="I68" s="32"/>
      <c r="J68" s="33"/>
      <c r="K68" s="21"/>
      <c r="L68" s="34">
        <f t="shared" ref="L68:L131" si="14">(2200*F68)+7855-G68</f>
        <v>0</v>
      </c>
      <c r="M68" s="34">
        <f t="shared" si="11"/>
        <v>5070</v>
      </c>
      <c r="N68" s="34">
        <f t="shared" si="12"/>
        <v>7000</v>
      </c>
      <c r="O68" s="35">
        <f t="shared" si="13"/>
        <v>12070</v>
      </c>
    </row>
    <row r="69" spans="1:15" ht="30" customHeight="1" x14ac:dyDescent="0.25">
      <c r="A69" s="24">
        <v>66</v>
      </c>
      <c r="B69" s="25" t="s">
        <v>148</v>
      </c>
      <c r="C69" s="26" t="s">
        <v>149</v>
      </c>
      <c r="D69" s="55">
        <v>1</v>
      </c>
      <c r="E69" s="28">
        <f t="shared" si="8"/>
        <v>24</v>
      </c>
      <c r="F69" s="29">
        <v>1</v>
      </c>
      <c r="G69" s="40">
        <v>10055</v>
      </c>
      <c r="H69" s="31"/>
      <c r="I69" s="32">
        <v>7000</v>
      </c>
      <c r="J69" s="33"/>
      <c r="K69" s="21"/>
      <c r="L69" s="34">
        <f t="shared" si="14"/>
        <v>0</v>
      </c>
      <c r="M69" s="34">
        <f t="shared" si="11"/>
        <v>5070</v>
      </c>
      <c r="N69" s="34">
        <f t="shared" si="12"/>
        <v>0</v>
      </c>
      <c r="O69" s="35">
        <f t="shared" si="13"/>
        <v>5070</v>
      </c>
    </row>
    <row r="70" spans="1:15" ht="30" customHeight="1" x14ac:dyDescent="0.25">
      <c r="A70" s="24">
        <v>67</v>
      </c>
      <c r="B70" s="25" t="s">
        <v>150</v>
      </c>
      <c r="C70" s="26" t="s">
        <v>151</v>
      </c>
      <c r="D70" s="55">
        <v>1</v>
      </c>
      <c r="E70" s="28">
        <f t="shared" si="8"/>
        <v>24</v>
      </c>
      <c r="F70" s="29">
        <v>1</v>
      </c>
      <c r="G70" s="40"/>
      <c r="H70" s="31"/>
      <c r="I70" s="32"/>
      <c r="J70" s="33"/>
      <c r="K70" s="21"/>
      <c r="L70" s="34">
        <f t="shared" si="14"/>
        <v>10055</v>
      </c>
      <c r="M70" s="34">
        <f t="shared" si="11"/>
        <v>5070</v>
      </c>
      <c r="N70" s="34">
        <f t="shared" si="12"/>
        <v>7000</v>
      </c>
      <c r="O70" s="35">
        <f t="shared" si="13"/>
        <v>22125</v>
      </c>
    </row>
    <row r="71" spans="1:15" ht="30" customHeight="1" x14ac:dyDescent="0.25">
      <c r="A71" s="24">
        <v>68</v>
      </c>
      <c r="B71" s="25" t="s">
        <v>152</v>
      </c>
      <c r="C71" s="26" t="s">
        <v>153</v>
      </c>
      <c r="D71" s="55">
        <v>1</v>
      </c>
      <c r="E71" s="28">
        <f t="shared" si="8"/>
        <v>24</v>
      </c>
      <c r="F71" s="29">
        <v>1</v>
      </c>
      <c r="G71" s="40"/>
      <c r="H71" s="31"/>
      <c r="I71" s="32"/>
      <c r="J71" s="33"/>
      <c r="K71" s="37">
        <v>33915</v>
      </c>
      <c r="L71" s="34">
        <f t="shared" si="14"/>
        <v>10055</v>
      </c>
      <c r="M71" s="34">
        <f t="shared" si="11"/>
        <v>5070</v>
      </c>
      <c r="N71" s="34">
        <f t="shared" si="12"/>
        <v>7000</v>
      </c>
      <c r="O71" s="35">
        <f t="shared" si="13"/>
        <v>56040</v>
      </c>
    </row>
    <row r="72" spans="1:15" ht="30" customHeight="1" x14ac:dyDescent="0.25">
      <c r="A72" s="24">
        <v>69</v>
      </c>
      <c r="B72" s="25" t="s">
        <v>154</v>
      </c>
      <c r="C72" s="26" t="s">
        <v>155</v>
      </c>
      <c r="D72" s="55">
        <v>1</v>
      </c>
      <c r="E72" s="28">
        <f t="shared" si="8"/>
        <v>24</v>
      </c>
      <c r="F72" s="29">
        <v>1</v>
      </c>
      <c r="G72" s="40">
        <v>10055</v>
      </c>
      <c r="H72" s="31"/>
      <c r="I72" s="32">
        <f>3000+1750+2000</f>
        <v>6750</v>
      </c>
      <c r="J72" s="33"/>
      <c r="K72" s="21"/>
      <c r="L72" s="34">
        <f t="shared" si="14"/>
        <v>0</v>
      </c>
      <c r="M72" s="34">
        <f t="shared" si="11"/>
        <v>5070</v>
      </c>
      <c r="N72" s="34">
        <f t="shared" si="12"/>
        <v>250</v>
      </c>
      <c r="O72" s="35">
        <f t="shared" si="13"/>
        <v>5320</v>
      </c>
    </row>
    <row r="73" spans="1:15" ht="30" customHeight="1" x14ac:dyDescent="0.25">
      <c r="A73" s="24">
        <v>70</v>
      </c>
      <c r="B73" s="25" t="s">
        <v>156</v>
      </c>
      <c r="C73" s="26" t="s">
        <v>157</v>
      </c>
      <c r="D73" s="55">
        <v>1</v>
      </c>
      <c r="E73" s="28">
        <f t="shared" si="8"/>
        <v>24</v>
      </c>
      <c r="F73" s="29">
        <v>1</v>
      </c>
      <c r="G73" s="40">
        <v>10055</v>
      </c>
      <c r="H73" s="31"/>
      <c r="I73" s="32">
        <f>3000+3000</f>
        <v>6000</v>
      </c>
      <c r="J73" s="33"/>
      <c r="K73" s="21"/>
      <c r="L73" s="34">
        <f t="shared" si="14"/>
        <v>0</v>
      </c>
      <c r="M73" s="34">
        <f t="shared" si="11"/>
        <v>5070</v>
      </c>
      <c r="N73" s="34">
        <f t="shared" si="12"/>
        <v>1000</v>
      </c>
      <c r="O73" s="35">
        <f t="shared" si="13"/>
        <v>6070</v>
      </c>
    </row>
    <row r="74" spans="1:15" ht="30" customHeight="1" x14ac:dyDescent="0.25">
      <c r="A74" s="24">
        <v>71</v>
      </c>
      <c r="B74" s="25" t="s">
        <v>158</v>
      </c>
      <c r="C74" s="26" t="s">
        <v>159</v>
      </c>
      <c r="D74" s="55">
        <v>1</v>
      </c>
      <c r="E74" s="28">
        <f t="shared" si="8"/>
        <v>24</v>
      </c>
      <c r="F74" s="29">
        <v>1</v>
      </c>
      <c r="G74" s="40"/>
      <c r="H74" s="31"/>
      <c r="I74" s="32"/>
      <c r="J74" s="33"/>
      <c r="K74" s="37">
        <v>3190</v>
      </c>
      <c r="L74" s="34">
        <f t="shared" si="14"/>
        <v>10055</v>
      </c>
      <c r="M74" s="34">
        <f t="shared" si="11"/>
        <v>5070</v>
      </c>
      <c r="N74" s="34">
        <f t="shared" si="12"/>
        <v>7000</v>
      </c>
      <c r="O74" s="35">
        <f t="shared" si="13"/>
        <v>25315</v>
      </c>
    </row>
    <row r="75" spans="1:15" ht="30" customHeight="1" x14ac:dyDescent="0.25">
      <c r="A75" s="24">
        <v>72</v>
      </c>
      <c r="B75" s="25" t="s">
        <v>160</v>
      </c>
      <c r="C75" s="26" t="s">
        <v>161</v>
      </c>
      <c r="D75" s="55">
        <v>1</v>
      </c>
      <c r="E75" s="28">
        <f t="shared" si="8"/>
        <v>24</v>
      </c>
      <c r="F75" s="29">
        <v>1</v>
      </c>
      <c r="G75" s="40"/>
      <c r="H75" s="31"/>
      <c r="I75" s="32"/>
      <c r="J75" s="33"/>
      <c r="K75" s="37">
        <f>38555-6599-14222-2000</f>
        <v>15734</v>
      </c>
      <c r="L75" s="34">
        <f t="shared" si="14"/>
        <v>10055</v>
      </c>
      <c r="M75" s="34">
        <f t="shared" si="11"/>
        <v>5070</v>
      </c>
      <c r="N75" s="34">
        <f t="shared" si="12"/>
        <v>7000</v>
      </c>
      <c r="O75" s="35">
        <f t="shared" si="13"/>
        <v>37859</v>
      </c>
    </row>
    <row r="76" spans="1:15" ht="30" customHeight="1" x14ac:dyDescent="0.25">
      <c r="A76" s="24">
        <v>73</v>
      </c>
      <c r="B76" s="25" t="s">
        <v>162</v>
      </c>
      <c r="C76" s="26" t="s">
        <v>163</v>
      </c>
      <c r="D76" s="55">
        <v>1</v>
      </c>
      <c r="E76" s="28">
        <f t="shared" si="8"/>
        <v>24</v>
      </c>
      <c r="F76" s="29">
        <v>1</v>
      </c>
      <c r="G76" s="40"/>
      <c r="H76" s="31"/>
      <c r="I76" s="32"/>
      <c r="J76" s="33"/>
      <c r="K76" s="37">
        <f>9689-6000</f>
        <v>3689</v>
      </c>
      <c r="L76" s="34">
        <f t="shared" si="14"/>
        <v>10055</v>
      </c>
      <c r="M76" s="34">
        <f t="shared" si="11"/>
        <v>5070</v>
      </c>
      <c r="N76" s="34">
        <f t="shared" si="12"/>
        <v>7000</v>
      </c>
      <c r="O76" s="35">
        <f t="shared" si="13"/>
        <v>25814</v>
      </c>
    </row>
    <row r="77" spans="1:15" ht="30" customHeight="1" x14ac:dyDescent="0.25">
      <c r="A77" s="24">
        <v>74</v>
      </c>
      <c r="B77" s="25" t="s">
        <v>164</v>
      </c>
      <c r="C77" s="26" t="s">
        <v>165</v>
      </c>
      <c r="D77" s="55">
        <v>1</v>
      </c>
      <c r="E77" s="28">
        <f t="shared" si="8"/>
        <v>24</v>
      </c>
      <c r="F77" s="29">
        <v>1</v>
      </c>
      <c r="G77" s="40"/>
      <c r="H77" s="31"/>
      <c r="I77" s="32"/>
      <c r="J77" s="33"/>
      <c r="K77" s="37">
        <v>5611</v>
      </c>
      <c r="L77" s="34">
        <f t="shared" si="14"/>
        <v>10055</v>
      </c>
      <c r="M77" s="34">
        <f t="shared" si="11"/>
        <v>5070</v>
      </c>
      <c r="N77" s="34">
        <f t="shared" si="12"/>
        <v>7000</v>
      </c>
      <c r="O77" s="35">
        <f t="shared" si="13"/>
        <v>27736</v>
      </c>
    </row>
    <row r="78" spans="1:15" ht="30" customHeight="1" x14ac:dyDescent="0.25">
      <c r="A78" s="24">
        <v>75</v>
      </c>
      <c r="B78" s="25" t="s">
        <v>166</v>
      </c>
      <c r="C78" s="26" t="s">
        <v>167</v>
      </c>
      <c r="D78" s="55">
        <v>1</v>
      </c>
      <c r="E78" s="28">
        <f t="shared" si="8"/>
        <v>24</v>
      </c>
      <c r="F78" s="29">
        <v>1</v>
      </c>
      <c r="G78" s="40"/>
      <c r="H78" s="31"/>
      <c r="I78" s="32"/>
      <c r="J78" s="33"/>
      <c r="K78" s="37">
        <v>74481</v>
      </c>
      <c r="L78" s="34">
        <f t="shared" si="14"/>
        <v>10055</v>
      </c>
      <c r="M78" s="34">
        <f t="shared" si="11"/>
        <v>5070</v>
      </c>
      <c r="N78" s="34">
        <f t="shared" si="12"/>
        <v>7000</v>
      </c>
      <c r="O78" s="35">
        <f t="shared" si="13"/>
        <v>96606</v>
      </c>
    </row>
    <row r="79" spans="1:15" ht="30" customHeight="1" x14ac:dyDescent="0.25">
      <c r="A79" s="24">
        <v>76</v>
      </c>
      <c r="B79" s="25" t="s">
        <v>168</v>
      </c>
      <c r="C79" s="26" t="s">
        <v>169</v>
      </c>
      <c r="D79" s="55">
        <v>1</v>
      </c>
      <c r="E79" s="28">
        <f t="shared" si="8"/>
        <v>24</v>
      </c>
      <c r="F79" s="29">
        <v>1</v>
      </c>
      <c r="G79" s="40">
        <f>120+4000+5000+935</f>
        <v>10055</v>
      </c>
      <c r="H79" s="31"/>
      <c r="I79" s="32">
        <f>4065+2000+900</f>
        <v>6965</v>
      </c>
      <c r="J79" s="33"/>
      <c r="K79" s="21"/>
      <c r="L79" s="34">
        <f t="shared" si="14"/>
        <v>0</v>
      </c>
      <c r="M79" s="34">
        <f>(2200*F79)+2870-H79-4000</f>
        <v>1070</v>
      </c>
      <c r="N79" s="34">
        <f t="shared" si="12"/>
        <v>35</v>
      </c>
      <c r="O79" s="35">
        <f t="shared" si="13"/>
        <v>1105</v>
      </c>
    </row>
    <row r="80" spans="1:15" ht="30" customHeight="1" x14ac:dyDescent="0.25">
      <c r="A80" s="24">
        <v>77</v>
      </c>
      <c r="B80" s="25" t="s">
        <v>170</v>
      </c>
      <c r="C80" s="26" t="s">
        <v>171</v>
      </c>
      <c r="D80" s="55">
        <v>1</v>
      </c>
      <c r="E80" s="28">
        <f t="shared" si="8"/>
        <v>24</v>
      </c>
      <c r="F80" s="29">
        <v>1</v>
      </c>
      <c r="G80" s="40">
        <f>1585+5000+3470</f>
        <v>10055</v>
      </c>
      <c r="H80" s="31"/>
      <c r="I80" s="32">
        <f>2530</f>
        <v>2530</v>
      </c>
      <c r="J80" s="33"/>
      <c r="K80" s="21"/>
      <c r="L80" s="34">
        <f t="shared" si="14"/>
        <v>0</v>
      </c>
      <c r="M80" s="34">
        <f t="shared" si="11"/>
        <v>5070</v>
      </c>
      <c r="N80" s="34">
        <f t="shared" si="12"/>
        <v>4470</v>
      </c>
      <c r="O80" s="35">
        <f t="shared" si="13"/>
        <v>9540</v>
      </c>
    </row>
    <row r="81" spans="1:15" ht="30" customHeight="1" x14ac:dyDescent="0.25">
      <c r="A81" s="24">
        <v>78</v>
      </c>
      <c r="B81" s="25" t="s">
        <v>172</v>
      </c>
      <c r="C81" s="26" t="s">
        <v>173</v>
      </c>
      <c r="D81" s="55">
        <v>1</v>
      </c>
      <c r="E81" s="28">
        <f t="shared" si="8"/>
        <v>24</v>
      </c>
      <c r="F81" s="29">
        <v>1</v>
      </c>
      <c r="G81" s="40">
        <v>10055</v>
      </c>
      <c r="H81" s="31">
        <v>3750</v>
      </c>
      <c r="I81" s="32">
        <f>3250+3750</f>
        <v>7000</v>
      </c>
      <c r="J81" s="33"/>
      <c r="K81" s="21"/>
      <c r="L81" s="34">
        <f t="shared" si="14"/>
        <v>0</v>
      </c>
      <c r="M81" s="34">
        <f t="shared" si="11"/>
        <v>1320</v>
      </c>
      <c r="N81" s="34">
        <f t="shared" si="12"/>
        <v>0</v>
      </c>
      <c r="O81" s="35">
        <f t="shared" si="13"/>
        <v>1320</v>
      </c>
    </row>
    <row r="82" spans="1:15" ht="30" customHeight="1" x14ac:dyDescent="0.25">
      <c r="A82" s="24">
        <v>79</v>
      </c>
      <c r="B82" s="25" t="s">
        <v>174</v>
      </c>
      <c r="C82" s="26" t="s">
        <v>175</v>
      </c>
      <c r="D82" s="55">
        <v>1</v>
      </c>
      <c r="E82" s="28">
        <f t="shared" si="8"/>
        <v>24</v>
      </c>
      <c r="F82" s="29">
        <v>1</v>
      </c>
      <c r="G82" s="40">
        <v>10055</v>
      </c>
      <c r="H82" s="31"/>
      <c r="I82" s="32"/>
      <c r="J82" s="33"/>
      <c r="K82" s="21"/>
      <c r="L82" s="34">
        <f t="shared" si="14"/>
        <v>0</v>
      </c>
      <c r="M82" s="34">
        <f t="shared" si="11"/>
        <v>5070</v>
      </c>
      <c r="N82" s="34">
        <f t="shared" si="12"/>
        <v>7000</v>
      </c>
      <c r="O82" s="35">
        <f t="shared" si="13"/>
        <v>12070</v>
      </c>
    </row>
    <row r="83" spans="1:15" ht="30" customHeight="1" x14ac:dyDescent="0.25">
      <c r="A83" s="24">
        <v>80</v>
      </c>
      <c r="B83" s="25" t="s">
        <v>176</v>
      </c>
      <c r="C83" s="26" t="s">
        <v>177</v>
      </c>
      <c r="D83" s="55">
        <v>1</v>
      </c>
      <c r="E83" s="28">
        <f t="shared" si="8"/>
        <v>24</v>
      </c>
      <c r="F83" s="29">
        <v>1</v>
      </c>
      <c r="G83" s="40">
        <v>10055</v>
      </c>
      <c r="H83" s="31"/>
      <c r="I83" s="32"/>
      <c r="J83" s="33"/>
      <c r="K83" s="21"/>
      <c r="L83" s="34">
        <f t="shared" si="14"/>
        <v>0</v>
      </c>
      <c r="M83" s="34">
        <f t="shared" si="11"/>
        <v>5070</v>
      </c>
      <c r="N83" s="34">
        <f t="shared" si="12"/>
        <v>7000</v>
      </c>
      <c r="O83" s="35">
        <f t="shared" si="13"/>
        <v>12070</v>
      </c>
    </row>
    <row r="84" spans="1:15" ht="30" customHeight="1" x14ac:dyDescent="0.25">
      <c r="A84" s="24">
        <v>81</v>
      </c>
      <c r="B84" s="25" t="s">
        <v>178</v>
      </c>
      <c r="C84" s="26" t="s">
        <v>179</v>
      </c>
      <c r="D84" s="55">
        <v>1</v>
      </c>
      <c r="E84" s="28">
        <f t="shared" si="8"/>
        <v>24</v>
      </c>
      <c r="F84" s="29">
        <v>1</v>
      </c>
      <c r="G84" s="40">
        <v>10055</v>
      </c>
      <c r="H84" s="31">
        <v>3000</v>
      </c>
      <c r="I84" s="32">
        <f>4000+3000</f>
        <v>7000</v>
      </c>
      <c r="J84" s="33"/>
      <c r="K84" s="21"/>
      <c r="L84" s="34">
        <f t="shared" si="14"/>
        <v>0</v>
      </c>
      <c r="M84" s="34">
        <f t="shared" si="11"/>
        <v>2070</v>
      </c>
      <c r="N84" s="34">
        <f t="shared" si="12"/>
        <v>0</v>
      </c>
      <c r="O84" s="35">
        <f t="shared" si="13"/>
        <v>2070</v>
      </c>
    </row>
    <row r="85" spans="1:15" ht="30" customHeight="1" x14ac:dyDescent="0.25">
      <c r="A85" s="24">
        <v>82</v>
      </c>
      <c r="B85" s="25" t="s">
        <v>180</v>
      </c>
      <c r="C85" s="26" t="s">
        <v>181</v>
      </c>
      <c r="D85" s="55">
        <v>1</v>
      </c>
      <c r="E85" s="28">
        <f t="shared" si="8"/>
        <v>24</v>
      </c>
      <c r="F85" s="29">
        <v>1</v>
      </c>
      <c r="G85" s="40">
        <f>1000+1000+1000+1000+1000+2000</f>
        <v>7000</v>
      </c>
      <c r="H85" s="31"/>
      <c r="I85" s="32"/>
      <c r="J85" s="33"/>
      <c r="K85" s="21"/>
      <c r="L85" s="34">
        <f t="shared" si="14"/>
        <v>3055</v>
      </c>
      <c r="M85" s="34">
        <f t="shared" si="11"/>
        <v>5070</v>
      </c>
      <c r="N85" s="34">
        <f t="shared" si="12"/>
        <v>7000</v>
      </c>
      <c r="O85" s="35">
        <f t="shared" si="13"/>
        <v>15125</v>
      </c>
    </row>
    <row r="86" spans="1:15" ht="30" customHeight="1" x14ac:dyDescent="0.25">
      <c r="A86" s="24">
        <v>83</v>
      </c>
      <c r="B86" s="25" t="s">
        <v>182</v>
      </c>
      <c r="C86" s="39" t="s">
        <v>87</v>
      </c>
      <c r="D86" s="55">
        <v>1</v>
      </c>
      <c r="E86" s="28">
        <f t="shared" si="8"/>
        <v>24</v>
      </c>
      <c r="F86" s="29">
        <v>1</v>
      </c>
      <c r="G86" s="40">
        <v>500</v>
      </c>
      <c r="H86" s="31"/>
      <c r="I86" s="32"/>
      <c r="J86" s="33"/>
      <c r="K86" s="21"/>
      <c r="L86" s="34">
        <f t="shared" si="14"/>
        <v>9555</v>
      </c>
      <c r="M86" s="34">
        <f t="shared" si="11"/>
        <v>5070</v>
      </c>
      <c r="N86" s="34">
        <f t="shared" si="12"/>
        <v>7000</v>
      </c>
      <c r="O86" s="35">
        <f t="shared" si="13"/>
        <v>21625</v>
      </c>
    </row>
    <row r="87" spans="1:15" ht="30" customHeight="1" x14ac:dyDescent="0.25">
      <c r="A87" s="24">
        <v>84</v>
      </c>
      <c r="B87" s="25" t="s">
        <v>183</v>
      </c>
      <c r="C87" s="26" t="s">
        <v>184</v>
      </c>
      <c r="D87" s="55">
        <v>1</v>
      </c>
      <c r="E87" s="28">
        <f t="shared" si="8"/>
        <v>24</v>
      </c>
      <c r="F87" s="29">
        <v>1</v>
      </c>
      <c r="G87" s="40"/>
      <c r="H87" s="31"/>
      <c r="I87" s="32"/>
      <c r="J87" s="33"/>
      <c r="K87" s="21"/>
      <c r="L87" s="34">
        <f t="shared" si="14"/>
        <v>10055</v>
      </c>
      <c r="M87" s="34">
        <f t="shared" si="11"/>
        <v>5070</v>
      </c>
      <c r="N87" s="34">
        <f t="shared" si="12"/>
        <v>7000</v>
      </c>
      <c r="O87" s="35">
        <f t="shared" si="13"/>
        <v>22125</v>
      </c>
    </row>
    <row r="88" spans="1:15" ht="30" customHeight="1" x14ac:dyDescent="0.25">
      <c r="A88" s="24">
        <v>85</v>
      </c>
      <c r="B88" s="25" t="s">
        <v>185</v>
      </c>
      <c r="C88" s="26" t="s">
        <v>186</v>
      </c>
      <c r="D88" s="55">
        <v>1</v>
      </c>
      <c r="E88" s="28">
        <f t="shared" si="8"/>
        <v>24</v>
      </c>
      <c r="F88" s="29">
        <v>1</v>
      </c>
      <c r="G88" s="40"/>
      <c r="H88" s="31"/>
      <c r="I88" s="32"/>
      <c r="J88" s="33"/>
      <c r="K88" s="37">
        <f>24972-3000-5000</f>
        <v>16972</v>
      </c>
      <c r="L88" s="34">
        <f t="shared" si="14"/>
        <v>10055</v>
      </c>
      <c r="M88" s="34">
        <f t="shared" si="11"/>
        <v>5070</v>
      </c>
      <c r="N88" s="34">
        <f t="shared" si="12"/>
        <v>7000</v>
      </c>
      <c r="O88" s="35">
        <f t="shared" si="13"/>
        <v>39097</v>
      </c>
    </row>
    <row r="89" spans="1:15" ht="30" customHeight="1" x14ac:dyDescent="0.25">
      <c r="A89" s="24">
        <v>86</v>
      </c>
      <c r="B89" s="25" t="s">
        <v>187</v>
      </c>
      <c r="C89" s="26" t="s">
        <v>188</v>
      </c>
      <c r="D89" s="55">
        <v>1</v>
      </c>
      <c r="E89" s="28">
        <f t="shared" si="8"/>
        <v>24</v>
      </c>
      <c r="F89" s="29">
        <v>1</v>
      </c>
      <c r="G89" s="40">
        <v>10055</v>
      </c>
      <c r="H89" s="31"/>
      <c r="I89" s="32"/>
      <c r="J89" s="33"/>
      <c r="K89" s="21"/>
      <c r="L89" s="34">
        <f t="shared" si="14"/>
        <v>0</v>
      </c>
      <c r="M89" s="34">
        <f t="shared" si="11"/>
        <v>5070</v>
      </c>
      <c r="N89" s="34">
        <f t="shared" si="12"/>
        <v>7000</v>
      </c>
      <c r="O89" s="35">
        <f t="shared" si="13"/>
        <v>12070</v>
      </c>
    </row>
    <row r="90" spans="1:15" ht="30" customHeight="1" x14ac:dyDescent="0.25">
      <c r="A90" s="24">
        <v>87</v>
      </c>
      <c r="B90" s="25" t="s">
        <v>189</v>
      </c>
      <c r="C90" s="26" t="s">
        <v>190</v>
      </c>
      <c r="D90" s="55">
        <v>1</v>
      </c>
      <c r="E90" s="28">
        <f t="shared" si="8"/>
        <v>24</v>
      </c>
      <c r="F90" s="29">
        <v>1</v>
      </c>
      <c r="G90" s="40">
        <v>10055</v>
      </c>
      <c r="H90" s="31"/>
      <c r="I90" s="32">
        <f>1000</f>
        <v>1000</v>
      </c>
      <c r="J90" s="33"/>
      <c r="K90" s="21"/>
      <c r="L90" s="34">
        <f t="shared" si="14"/>
        <v>0</v>
      </c>
      <c r="M90" s="34">
        <f t="shared" si="11"/>
        <v>5070</v>
      </c>
      <c r="N90" s="34">
        <f t="shared" si="12"/>
        <v>6000</v>
      </c>
      <c r="O90" s="35">
        <f t="shared" si="13"/>
        <v>11070</v>
      </c>
    </row>
    <row r="91" spans="1:15" ht="30" customHeight="1" x14ac:dyDescent="0.25">
      <c r="A91" s="24">
        <v>88</v>
      </c>
      <c r="B91" s="25" t="s">
        <v>191</v>
      </c>
      <c r="C91" s="26" t="s">
        <v>192</v>
      </c>
      <c r="D91" s="55">
        <v>1</v>
      </c>
      <c r="E91" s="28">
        <f t="shared" si="8"/>
        <v>24</v>
      </c>
      <c r="F91" s="29">
        <v>1</v>
      </c>
      <c r="G91" s="40">
        <v>10055</v>
      </c>
      <c r="H91" s="31">
        <v>3100</v>
      </c>
      <c r="I91" s="32">
        <v>5000</v>
      </c>
      <c r="J91" s="33"/>
      <c r="K91" s="21"/>
      <c r="L91" s="34">
        <f t="shared" si="14"/>
        <v>0</v>
      </c>
      <c r="M91" s="34">
        <f t="shared" si="11"/>
        <v>1970</v>
      </c>
      <c r="N91" s="34">
        <f t="shared" si="12"/>
        <v>2000</v>
      </c>
      <c r="O91" s="35">
        <f t="shared" si="13"/>
        <v>3970</v>
      </c>
    </row>
    <row r="92" spans="1:15" ht="30" customHeight="1" x14ac:dyDescent="0.25">
      <c r="A92" s="24">
        <v>89</v>
      </c>
      <c r="B92" s="25" t="s">
        <v>193</v>
      </c>
      <c r="C92" s="26" t="s">
        <v>194</v>
      </c>
      <c r="D92" s="55">
        <v>1</v>
      </c>
      <c r="E92" s="28">
        <f t="shared" si="8"/>
        <v>24</v>
      </c>
      <c r="F92" s="29">
        <v>1</v>
      </c>
      <c r="G92" s="40">
        <f>3350+6705</f>
        <v>10055</v>
      </c>
      <c r="H92" s="31"/>
      <c r="I92" s="32">
        <v>3300</v>
      </c>
      <c r="J92" s="33"/>
      <c r="K92" s="21"/>
      <c r="L92" s="34">
        <f t="shared" si="14"/>
        <v>0</v>
      </c>
      <c r="M92" s="34">
        <f t="shared" si="11"/>
        <v>5070</v>
      </c>
      <c r="N92" s="34">
        <f t="shared" si="12"/>
        <v>3700</v>
      </c>
      <c r="O92" s="35">
        <f t="shared" si="13"/>
        <v>8770</v>
      </c>
    </row>
    <row r="93" spans="1:15" ht="30" customHeight="1" x14ac:dyDescent="0.25">
      <c r="A93" s="24">
        <v>90</v>
      </c>
      <c r="B93" s="25" t="s">
        <v>195</v>
      </c>
      <c r="C93" s="26" t="s">
        <v>196</v>
      </c>
      <c r="D93" s="55">
        <v>1</v>
      </c>
      <c r="E93" s="28">
        <f t="shared" si="8"/>
        <v>24</v>
      </c>
      <c r="F93" s="29">
        <v>1</v>
      </c>
      <c r="G93" s="40"/>
      <c r="H93" s="31"/>
      <c r="I93" s="32"/>
      <c r="J93" s="33"/>
      <c r="K93" s="37">
        <v>19616</v>
      </c>
      <c r="L93" s="34">
        <f t="shared" si="14"/>
        <v>10055</v>
      </c>
      <c r="M93" s="34">
        <f t="shared" si="11"/>
        <v>5070</v>
      </c>
      <c r="N93" s="34">
        <f t="shared" si="12"/>
        <v>7000</v>
      </c>
      <c r="O93" s="35">
        <f t="shared" si="13"/>
        <v>41741</v>
      </c>
    </row>
    <row r="94" spans="1:15" ht="30" customHeight="1" x14ac:dyDescent="0.25">
      <c r="A94" s="24">
        <v>91</v>
      </c>
      <c r="B94" s="25" t="s">
        <v>197</v>
      </c>
      <c r="C94" s="48" t="s">
        <v>198</v>
      </c>
      <c r="D94" s="56">
        <v>1</v>
      </c>
      <c r="E94" s="50">
        <f t="shared" si="8"/>
        <v>24</v>
      </c>
      <c r="F94" s="51">
        <v>1</v>
      </c>
      <c r="G94" s="52">
        <v>10055</v>
      </c>
      <c r="H94" s="53"/>
      <c r="I94" s="19"/>
      <c r="J94" s="54"/>
      <c r="K94" s="21"/>
      <c r="L94" s="34">
        <f t="shared" si="14"/>
        <v>0</v>
      </c>
      <c r="M94" s="34">
        <f t="shared" si="11"/>
        <v>5070</v>
      </c>
      <c r="N94" s="34">
        <f t="shared" si="12"/>
        <v>7000</v>
      </c>
      <c r="O94" s="35">
        <f t="shared" si="13"/>
        <v>12070</v>
      </c>
    </row>
    <row r="95" spans="1:15" ht="30" customHeight="1" x14ac:dyDescent="0.25">
      <c r="A95" s="24">
        <v>92</v>
      </c>
      <c r="B95" s="25" t="s">
        <v>199</v>
      </c>
      <c r="C95" s="26" t="s">
        <v>200</v>
      </c>
      <c r="D95" s="55">
        <v>1</v>
      </c>
      <c r="E95" s="28">
        <f t="shared" si="8"/>
        <v>24</v>
      </c>
      <c r="F95" s="29">
        <v>1</v>
      </c>
      <c r="G95" s="40"/>
      <c r="H95" s="31"/>
      <c r="I95" s="32"/>
      <c r="J95" s="33"/>
      <c r="K95" s="21"/>
      <c r="L95" s="34">
        <f t="shared" si="14"/>
        <v>10055</v>
      </c>
      <c r="M95" s="34">
        <f t="shared" si="11"/>
        <v>5070</v>
      </c>
      <c r="N95" s="34">
        <f t="shared" si="12"/>
        <v>7000</v>
      </c>
      <c r="O95" s="35">
        <f t="shared" si="13"/>
        <v>22125</v>
      </c>
    </row>
    <row r="96" spans="1:15" ht="30" customHeight="1" x14ac:dyDescent="0.25">
      <c r="A96" s="24">
        <v>93</v>
      </c>
      <c r="B96" s="25" t="s">
        <v>201</v>
      </c>
      <c r="C96" s="26" t="s">
        <v>202</v>
      </c>
      <c r="D96" s="55">
        <v>1</v>
      </c>
      <c r="E96" s="28">
        <f t="shared" si="8"/>
        <v>24</v>
      </c>
      <c r="F96" s="29">
        <v>1</v>
      </c>
      <c r="G96" s="40">
        <f>3000+5000+2055</f>
        <v>10055</v>
      </c>
      <c r="H96" s="31"/>
      <c r="I96" s="32">
        <v>2945</v>
      </c>
      <c r="J96" s="33"/>
      <c r="K96" s="21"/>
      <c r="L96" s="34">
        <f t="shared" si="14"/>
        <v>0</v>
      </c>
      <c r="M96" s="34">
        <f t="shared" si="11"/>
        <v>5070</v>
      </c>
      <c r="N96" s="34">
        <f t="shared" si="12"/>
        <v>4055</v>
      </c>
      <c r="O96" s="35">
        <f t="shared" si="13"/>
        <v>9125</v>
      </c>
    </row>
    <row r="97" spans="1:15" ht="30" customHeight="1" x14ac:dyDescent="0.25">
      <c r="A97" s="24">
        <v>94</v>
      </c>
      <c r="B97" s="25" t="s">
        <v>203</v>
      </c>
      <c r="C97" s="26" t="s">
        <v>204</v>
      </c>
      <c r="D97" s="55">
        <v>1</v>
      </c>
      <c r="E97" s="28">
        <f t="shared" si="8"/>
        <v>24</v>
      </c>
      <c r="F97" s="29">
        <v>1</v>
      </c>
      <c r="G97" s="40">
        <v>10055</v>
      </c>
      <c r="H97" s="31">
        <v>2795</v>
      </c>
      <c r="I97" s="32">
        <v>7000</v>
      </c>
      <c r="J97" s="33"/>
      <c r="K97" s="21"/>
      <c r="L97" s="34">
        <f t="shared" si="14"/>
        <v>0</v>
      </c>
      <c r="M97" s="34">
        <f t="shared" si="11"/>
        <v>2275</v>
      </c>
      <c r="N97" s="34">
        <f t="shared" si="12"/>
        <v>0</v>
      </c>
      <c r="O97" s="35">
        <f t="shared" si="13"/>
        <v>2275</v>
      </c>
    </row>
    <row r="98" spans="1:15" ht="30" customHeight="1" x14ac:dyDescent="0.25">
      <c r="A98" s="24">
        <v>95</v>
      </c>
      <c r="B98" s="25" t="s">
        <v>205</v>
      </c>
      <c r="C98" s="26" t="s">
        <v>206</v>
      </c>
      <c r="D98" s="55">
        <v>1</v>
      </c>
      <c r="E98" s="28">
        <f t="shared" si="8"/>
        <v>24</v>
      </c>
      <c r="F98" s="29">
        <v>1</v>
      </c>
      <c r="G98" s="40"/>
      <c r="H98" s="31"/>
      <c r="I98" s="32"/>
      <c r="J98" s="33"/>
      <c r="K98" s="21"/>
      <c r="L98" s="34">
        <f t="shared" si="14"/>
        <v>10055</v>
      </c>
      <c r="M98" s="34">
        <f t="shared" si="11"/>
        <v>5070</v>
      </c>
      <c r="N98" s="34">
        <f t="shared" si="12"/>
        <v>7000</v>
      </c>
      <c r="O98" s="35">
        <f t="shared" si="13"/>
        <v>22125</v>
      </c>
    </row>
    <row r="99" spans="1:15" ht="30" customHeight="1" x14ac:dyDescent="0.25">
      <c r="A99" s="24">
        <v>96</v>
      </c>
      <c r="B99" s="25" t="s">
        <v>207</v>
      </c>
      <c r="C99" s="26" t="s">
        <v>208</v>
      </c>
      <c r="D99" s="55">
        <v>1</v>
      </c>
      <c r="E99" s="28">
        <f t="shared" si="8"/>
        <v>24</v>
      </c>
      <c r="F99" s="29">
        <v>1</v>
      </c>
      <c r="G99" s="40">
        <v>10055</v>
      </c>
      <c r="H99" s="31">
        <f>3000</f>
        <v>3000</v>
      </c>
      <c r="I99" s="32">
        <f>5000+2000</f>
        <v>7000</v>
      </c>
      <c r="J99" s="33"/>
      <c r="K99" s="21"/>
      <c r="L99" s="34">
        <f t="shared" si="14"/>
        <v>0</v>
      </c>
      <c r="M99" s="34">
        <f t="shared" si="11"/>
        <v>2070</v>
      </c>
      <c r="N99" s="34">
        <f t="shared" si="12"/>
        <v>0</v>
      </c>
      <c r="O99" s="35">
        <f t="shared" si="13"/>
        <v>2070</v>
      </c>
    </row>
    <row r="100" spans="1:15" ht="30" customHeight="1" x14ac:dyDescent="0.25">
      <c r="A100" s="24">
        <v>97</v>
      </c>
      <c r="B100" s="25" t="s">
        <v>209</v>
      </c>
      <c r="C100" s="26" t="s">
        <v>210</v>
      </c>
      <c r="D100" s="55">
        <v>1</v>
      </c>
      <c r="E100" s="28">
        <f t="shared" ref="E100:E131" si="15">$E$1*F100</f>
        <v>24</v>
      </c>
      <c r="F100" s="29">
        <v>1</v>
      </c>
      <c r="G100" s="40">
        <v>10055</v>
      </c>
      <c r="H100" s="31"/>
      <c r="I100" s="32"/>
      <c r="J100" s="33"/>
      <c r="K100" s="21"/>
      <c r="L100" s="34">
        <f t="shared" si="14"/>
        <v>0</v>
      </c>
      <c r="M100" s="34">
        <f t="shared" si="11"/>
        <v>5070</v>
      </c>
      <c r="N100" s="34">
        <f t="shared" si="12"/>
        <v>7000</v>
      </c>
      <c r="O100" s="35">
        <f t="shared" si="13"/>
        <v>12070</v>
      </c>
    </row>
    <row r="101" spans="1:15" ht="30" customHeight="1" x14ac:dyDescent="0.25">
      <c r="A101" s="24">
        <v>98</v>
      </c>
      <c r="B101" s="25" t="s">
        <v>211</v>
      </c>
      <c r="C101" s="26" t="s">
        <v>212</v>
      </c>
      <c r="D101" s="55">
        <v>1</v>
      </c>
      <c r="E101" s="28">
        <f t="shared" si="15"/>
        <v>24</v>
      </c>
      <c r="F101" s="29">
        <v>1</v>
      </c>
      <c r="G101" s="40">
        <v>10055</v>
      </c>
      <c r="H101" s="31"/>
      <c r="I101" s="32"/>
      <c r="J101" s="33"/>
      <c r="K101" s="21"/>
      <c r="L101" s="34">
        <f t="shared" si="14"/>
        <v>0</v>
      </c>
      <c r="M101" s="34">
        <f t="shared" si="11"/>
        <v>5070</v>
      </c>
      <c r="N101" s="34">
        <f t="shared" si="12"/>
        <v>7000</v>
      </c>
      <c r="O101" s="35">
        <f t="shared" si="13"/>
        <v>12070</v>
      </c>
    </row>
    <row r="102" spans="1:15" ht="30" customHeight="1" x14ac:dyDescent="0.25">
      <c r="A102" s="24">
        <v>99</v>
      </c>
      <c r="B102" s="25" t="s">
        <v>213</v>
      </c>
      <c r="C102" s="26" t="s">
        <v>192</v>
      </c>
      <c r="D102" s="55">
        <v>1</v>
      </c>
      <c r="E102" s="28">
        <f t="shared" si="15"/>
        <v>24</v>
      </c>
      <c r="F102" s="29">
        <v>1</v>
      </c>
      <c r="G102" s="40">
        <f>1766+8289</f>
        <v>10055</v>
      </c>
      <c r="H102" s="31"/>
      <c r="I102" s="32">
        <v>5000</v>
      </c>
      <c r="J102" s="33"/>
      <c r="K102" s="21"/>
      <c r="L102" s="34">
        <f t="shared" si="14"/>
        <v>0</v>
      </c>
      <c r="M102" s="34">
        <f t="shared" si="11"/>
        <v>5070</v>
      </c>
      <c r="N102" s="34">
        <f t="shared" si="12"/>
        <v>2000</v>
      </c>
      <c r="O102" s="35">
        <f t="shared" si="13"/>
        <v>7070</v>
      </c>
    </row>
    <row r="103" spans="1:15" ht="30" customHeight="1" x14ac:dyDescent="0.25">
      <c r="A103" s="24">
        <v>100</v>
      </c>
      <c r="B103" s="25" t="s">
        <v>214</v>
      </c>
      <c r="C103" s="41" t="s">
        <v>215</v>
      </c>
      <c r="D103" s="57">
        <v>1</v>
      </c>
      <c r="E103" s="43">
        <f t="shared" si="15"/>
        <v>24</v>
      </c>
      <c r="F103" s="44">
        <v>1</v>
      </c>
      <c r="G103" s="40">
        <v>10055</v>
      </c>
      <c r="H103" s="45"/>
      <c r="I103" s="46">
        <f>4895+2105</f>
        <v>7000</v>
      </c>
      <c r="J103" s="47"/>
      <c r="K103" s="21"/>
      <c r="L103" s="34">
        <f t="shared" si="14"/>
        <v>0</v>
      </c>
      <c r="M103" s="34">
        <f t="shared" si="11"/>
        <v>5070</v>
      </c>
      <c r="N103" s="34">
        <f t="shared" si="12"/>
        <v>0</v>
      </c>
      <c r="O103" s="35">
        <f t="shared" si="13"/>
        <v>5070</v>
      </c>
    </row>
    <row r="104" spans="1:15" ht="30" customHeight="1" x14ac:dyDescent="0.25">
      <c r="A104" s="24">
        <v>101</v>
      </c>
      <c r="B104" s="25" t="s">
        <v>216</v>
      </c>
      <c r="C104" s="26" t="s">
        <v>217</v>
      </c>
      <c r="D104" s="55">
        <v>1</v>
      </c>
      <c r="E104" s="28">
        <f t="shared" si="15"/>
        <v>22.5</v>
      </c>
      <c r="F104" s="29">
        <v>0.9375</v>
      </c>
      <c r="G104" s="40"/>
      <c r="H104" s="31"/>
      <c r="I104" s="32"/>
      <c r="J104" s="33"/>
      <c r="K104" s="37">
        <v>36483</v>
      </c>
      <c r="L104" s="34">
        <f t="shared" si="14"/>
        <v>9917.5</v>
      </c>
      <c r="M104" s="34">
        <f t="shared" si="11"/>
        <v>4932.5</v>
      </c>
      <c r="N104" s="34">
        <f t="shared" si="12"/>
        <v>6562.5</v>
      </c>
      <c r="O104" s="35">
        <f t="shared" si="13"/>
        <v>57895.5</v>
      </c>
    </row>
    <row r="105" spans="1:15" ht="30" customHeight="1" x14ac:dyDescent="0.25">
      <c r="A105" s="24">
        <v>102</v>
      </c>
      <c r="B105" s="25" t="s">
        <v>218</v>
      </c>
      <c r="C105" s="26" t="s">
        <v>23</v>
      </c>
      <c r="D105" s="55">
        <v>1</v>
      </c>
      <c r="E105" s="28">
        <f t="shared" si="15"/>
        <v>24</v>
      </c>
      <c r="F105" s="29">
        <v>1</v>
      </c>
      <c r="G105" s="40"/>
      <c r="H105" s="31"/>
      <c r="I105" s="32"/>
      <c r="J105" s="33"/>
      <c r="K105" s="21"/>
      <c r="L105" s="34">
        <f t="shared" si="14"/>
        <v>10055</v>
      </c>
      <c r="M105" s="34">
        <f t="shared" si="11"/>
        <v>5070</v>
      </c>
      <c r="N105" s="34">
        <f t="shared" si="12"/>
        <v>7000</v>
      </c>
      <c r="O105" s="35">
        <f t="shared" si="13"/>
        <v>22125</v>
      </c>
    </row>
    <row r="106" spans="1:15" ht="30" customHeight="1" x14ac:dyDescent="0.25">
      <c r="A106" s="24">
        <v>103</v>
      </c>
      <c r="B106" s="25" t="s">
        <v>219</v>
      </c>
      <c r="C106" s="26" t="s">
        <v>220</v>
      </c>
      <c r="D106" s="55">
        <v>1</v>
      </c>
      <c r="E106" s="28">
        <f t="shared" si="15"/>
        <v>24</v>
      </c>
      <c r="F106" s="29">
        <v>1</v>
      </c>
      <c r="G106" s="40"/>
      <c r="H106" s="31"/>
      <c r="I106" s="32"/>
      <c r="J106" s="33"/>
      <c r="K106" s="37">
        <v>2990</v>
      </c>
      <c r="L106" s="34">
        <f t="shared" si="14"/>
        <v>10055</v>
      </c>
      <c r="M106" s="34">
        <f t="shared" si="11"/>
        <v>5070</v>
      </c>
      <c r="N106" s="34">
        <f t="shared" si="12"/>
        <v>7000</v>
      </c>
      <c r="O106" s="35">
        <f t="shared" si="13"/>
        <v>25115</v>
      </c>
    </row>
    <row r="107" spans="1:15" ht="30" customHeight="1" x14ac:dyDescent="0.25">
      <c r="A107" s="24">
        <v>104</v>
      </c>
      <c r="B107" s="25" t="s">
        <v>221</v>
      </c>
      <c r="C107" s="26" t="s">
        <v>222</v>
      </c>
      <c r="D107" s="55">
        <v>1</v>
      </c>
      <c r="E107" s="28">
        <f t="shared" si="15"/>
        <v>24</v>
      </c>
      <c r="F107" s="29">
        <v>1</v>
      </c>
      <c r="G107" s="40">
        <v>10055</v>
      </c>
      <c r="H107" s="31"/>
      <c r="I107" s="32"/>
      <c r="J107" s="33"/>
      <c r="K107" s="21"/>
      <c r="L107" s="34">
        <f t="shared" si="14"/>
        <v>0</v>
      </c>
      <c r="M107" s="34">
        <f t="shared" si="11"/>
        <v>5070</v>
      </c>
      <c r="N107" s="34">
        <f t="shared" si="12"/>
        <v>7000</v>
      </c>
      <c r="O107" s="35">
        <f t="shared" si="13"/>
        <v>12070</v>
      </c>
    </row>
    <row r="108" spans="1:15" ht="30" customHeight="1" x14ac:dyDescent="0.25">
      <c r="A108" s="24">
        <v>105</v>
      </c>
      <c r="B108" s="25" t="s">
        <v>223</v>
      </c>
      <c r="C108" s="26" t="s">
        <v>224</v>
      </c>
      <c r="D108" s="55">
        <v>1</v>
      </c>
      <c r="E108" s="28">
        <f t="shared" si="15"/>
        <v>24</v>
      </c>
      <c r="F108" s="29">
        <v>1</v>
      </c>
      <c r="G108" s="40"/>
      <c r="H108" s="31"/>
      <c r="I108" s="32"/>
      <c r="J108" s="33"/>
      <c r="K108" s="21"/>
      <c r="L108" s="34">
        <f t="shared" si="14"/>
        <v>10055</v>
      </c>
      <c r="M108" s="34">
        <f t="shared" si="11"/>
        <v>5070</v>
      </c>
      <c r="N108" s="34">
        <f t="shared" si="12"/>
        <v>7000</v>
      </c>
      <c r="O108" s="35">
        <f t="shared" si="13"/>
        <v>22125</v>
      </c>
    </row>
    <row r="109" spans="1:15" ht="30" customHeight="1" x14ac:dyDescent="0.25">
      <c r="A109" s="24">
        <v>106</v>
      </c>
      <c r="B109" s="25" t="s">
        <v>225</v>
      </c>
      <c r="C109" s="26" t="s">
        <v>226</v>
      </c>
      <c r="D109" s="55">
        <v>1</v>
      </c>
      <c r="E109" s="28">
        <f t="shared" si="15"/>
        <v>24</v>
      </c>
      <c r="F109" s="29">
        <v>1</v>
      </c>
      <c r="G109" s="40"/>
      <c r="H109" s="31"/>
      <c r="I109" s="32"/>
      <c r="J109" s="33"/>
      <c r="K109" s="37">
        <f>30317-5000</f>
        <v>25317</v>
      </c>
      <c r="L109" s="34">
        <f t="shared" si="14"/>
        <v>10055</v>
      </c>
      <c r="M109" s="34">
        <f t="shared" si="11"/>
        <v>5070</v>
      </c>
      <c r="N109" s="34">
        <f t="shared" si="12"/>
        <v>7000</v>
      </c>
      <c r="O109" s="35">
        <f t="shared" si="13"/>
        <v>47442</v>
      </c>
    </row>
    <row r="110" spans="1:15" ht="30" customHeight="1" x14ac:dyDescent="0.25">
      <c r="A110" s="24">
        <v>107</v>
      </c>
      <c r="B110" s="25" t="s">
        <v>227</v>
      </c>
      <c r="C110" s="26" t="s">
        <v>228</v>
      </c>
      <c r="D110" s="55">
        <v>1</v>
      </c>
      <c r="E110" s="28">
        <f t="shared" si="15"/>
        <v>24</v>
      </c>
      <c r="F110" s="29">
        <v>1</v>
      </c>
      <c r="G110" s="40">
        <f>352+3000+3000+3000</f>
        <v>9352</v>
      </c>
      <c r="H110" s="31"/>
      <c r="I110" s="32"/>
      <c r="J110" s="33"/>
      <c r="K110" s="21"/>
      <c r="L110" s="34">
        <f t="shared" si="14"/>
        <v>703</v>
      </c>
      <c r="M110" s="34">
        <f t="shared" si="11"/>
        <v>5070</v>
      </c>
      <c r="N110" s="34">
        <f t="shared" si="12"/>
        <v>7000</v>
      </c>
      <c r="O110" s="35">
        <f t="shared" si="13"/>
        <v>12773</v>
      </c>
    </row>
    <row r="111" spans="1:15" ht="30" customHeight="1" x14ac:dyDescent="0.25">
      <c r="A111" s="24">
        <v>108</v>
      </c>
      <c r="B111" s="25" t="s">
        <v>229</v>
      </c>
      <c r="C111" s="41" t="s">
        <v>230</v>
      </c>
      <c r="D111" s="57">
        <v>1</v>
      </c>
      <c r="E111" s="43">
        <f t="shared" si="15"/>
        <v>24</v>
      </c>
      <c r="F111" s="44">
        <v>1</v>
      </c>
      <c r="G111" s="40">
        <f>2735+2000+5000+320</f>
        <v>10055</v>
      </c>
      <c r="H111" s="45">
        <f>380+2000</f>
        <v>2380</v>
      </c>
      <c r="I111" s="46">
        <f>680+1200+1800+2000+1320</f>
        <v>7000</v>
      </c>
      <c r="J111" s="47"/>
      <c r="K111" s="21"/>
      <c r="L111" s="34">
        <f t="shared" si="14"/>
        <v>0</v>
      </c>
      <c r="M111" s="34">
        <f t="shared" si="11"/>
        <v>2690</v>
      </c>
      <c r="N111" s="34">
        <f t="shared" si="12"/>
        <v>0</v>
      </c>
      <c r="O111" s="35">
        <f t="shared" si="13"/>
        <v>2690</v>
      </c>
    </row>
    <row r="112" spans="1:15" ht="30" customHeight="1" x14ac:dyDescent="0.25">
      <c r="A112" s="24">
        <v>109</v>
      </c>
      <c r="B112" s="25" t="s">
        <v>231</v>
      </c>
      <c r="C112" s="26" t="s">
        <v>232</v>
      </c>
      <c r="D112" s="55">
        <v>1</v>
      </c>
      <c r="E112" s="28">
        <f t="shared" si="15"/>
        <v>24</v>
      </c>
      <c r="F112" s="29">
        <v>1</v>
      </c>
      <c r="G112" s="40"/>
      <c r="H112" s="31"/>
      <c r="I112" s="32"/>
      <c r="J112" s="33"/>
      <c r="K112" s="37">
        <v>54526</v>
      </c>
      <c r="L112" s="34">
        <f t="shared" si="14"/>
        <v>10055</v>
      </c>
      <c r="M112" s="34">
        <f t="shared" si="11"/>
        <v>5070</v>
      </c>
      <c r="N112" s="34">
        <f t="shared" si="12"/>
        <v>7000</v>
      </c>
      <c r="O112" s="35">
        <f t="shared" si="13"/>
        <v>76651</v>
      </c>
    </row>
    <row r="113" spans="1:15" ht="30.75" customHeight="1" x14ac:dyDescent="0.25">
      <c r="A113" s="24">
        <v>110</v>
      </c>
      <c r="B113" s="25" t="s">
        <v>233</v>
      </c>
      <c r="C113" s="38" t="s">
        <v>234</v>
      </c>
      <c r="D113" s="55">
        <v>1</v>
      </c>
      <c r="E113" s="28">
        <f t="shared" si="15"/>
        <v>24</v>
      </c>
      <c r="F113" s="29">
        <v>1</v>
      </c>
      <c r="G113" s="40">
        <v>10055</v>
      </c>
      <c r="H113" s="31"/>
      <c r="I113" s="32">
        <f>1500+2000+1500</f>
        <v>5000</v>
      </c>
      <c r="J113" s="33"/>
      <c r="K113" s="21"/>
      <c r="L113" s="34">
        <f t="shared" si="14"/>
        <v>0</v>
      </c>
      <c r="M113" s="34">
        <f t="shared" si="11"/>
        <v>5070</v>
      </c>
      <c r="N113" s="34">
        <f t="shared" si="12"/>
        <v>2000</v>
      </c>
      <c r="O113" s="35">
        <f t="shared" si="13"/>
        <v>7070</v>
      </c>
    </row>
    <row r="114" spans="1:15" ht="30" customHeight="1" x14ac:dyDescent="0.25">
      <c r="A114" s="24">
        <v>111</v>
      </c>
      <c r="B114" s="25" t="s">
        <v>235</v>
      </c>
      <c r="C114" s="26" t="s">
        <v>236</v>
      </c>
      <c r="D114" s="55">
        <v>1</v>
      </c>
      <c r="E114" s="28">
        <f t="shared" si="15"/>
        <v>24</v>
      </c>
      <c r="F114" s="29">
        <v>1</v>
      </c>
      <c r="G114" s="40"/>
      <c r="H114" s="31"/>
      <c r="I114" s="32"/>
      <c r="J114" s="33"/>
      <c r="K114" s="37">
        <v>18972</v>
      </c>
      <c r="L114" s="34">
        <f t="shared" si="14"/>
        <v>10055</v>
      </c>
      <c r="M114" s="34">
        <f t="shared" si="11"/>
        <v>5070</v>
      </c>
      <c r="N114" s="34">
        <f t="shared" si="12"/>
        <v>7000</v>
      </c>
      <c r="O114" s="35">
        <f t="shared" si="13"/>
        <v>41097</v>
      </c>
    </row>
    <row r="115" spans="1:15" ht="30" customHeight="1" x14ac:dyDescent="0.25">
      <c r="A115" s="24">
        <v>112</v>
      </c>
      <c r="B115" s="25" t="s">
        <v>237</v>
      </c>
      <c r="C115" s="26" t="s">
        <v>238</v>
      </c>
      <c r="D115" s="55">
        <v>1</v>
      </c>
      <c r="E115" s="28">
        <f t="shared" si="15"/>
        <v>24</v>
      </c>
      <c r="F115" s="29">
        <v>1</v>
      </c>
      <c r="G115" s="40"/>
      <c r="H115" s="31"/>
      <c r="I115" s="32"/>
      <c r="J115" s="33"/>
      <c r="K115" s="37">
        <v>61606</v>
      </c>
      <c r="L115" s="34">
        <f t="shared" si="14"/>
        <v>10055</v>
      </c>
      <c r="M115" s="34">
        <f t="shared" si="11"/>
        <v>5070</v>
      </c>
      <c r="N115" s="34">
        <f t="shared" si="12"/>
        <v>7000</v>
      </c>
      <c r="O115" s="35">
        <f t="shared" si="13"/>
        <v>83731</v>
      </c>
    </row>
    <row r="116" spans="1:15" ht="30" customHeight="1" x14ac:dyDescent="0.25">
      <c r="A116" s="24">
        <v>113</v>
      </c>
      <c r="B116" s="25" t="s">
        <v>239</v>
      </c>
      <c r="C116" s="38" t="s">
        <v>240</v>
      </c>
      <c r="D116" s="55">
        <v>1</v>
      </c>
      <c r="E116" s="28">
        <f t="shared" si="15"/>
        <v>24</v>
      </c>
      <c r="F116" s="29">
        <v>1</v>
      </c>
      <c r="G116" s="40"/>
      <c r="H116" s="31"/>
      <c r="I116" s="32"/>
      <c r="J116" s="33"/>
      <c r="K116" s="37">
        <v>44729</v>
      </c>
      <c r="L116" s="34">
        <f t="shared" si="14"/>
        <v>10055</v>
      </c>
      <c r="M116" s="34">
        <f t="shared" si="11"/>
        <v>5070</v>
      </c>
      <c r="N116" s="34">
        <f t="shared" si="12"/>
        <v>7000</v>
      </c>
      <c r="O116" s="35">
        <f t="shared" si="13"/>
        <v>66854</v>
      </c>
    </row>
    <row r="117" spans="1:15" ht="30" customHeight="1" x14ac:dyDescent="0.25">
      <c r="A117" s="24">
        <v>114</v>
      </c>
      <c r="B117" s="25" t="s">
        <v>241</v>
      </c>
      <c r="C117" s="26" t="s">
        <v>242</v>
      </c>
      <c r="D117" s="55">
        <v>1</v>
      </c>
      <c r="E117" s="28">
        <f t="shared" si="15"/>
        <v>24</v>
      </c>
      <c r="F117" s="29">
        <v>1</v>
      </c>
      <c r="G117" s="40"/>
      <c r="H117" s="31"/>
      <c r="I117" s="32"/>
      <c r="J117" s="33"/>
      <c r="K117" s="37">
        <v>49524</v>
      </c>
      <c r="L117" s="34">
        <f t="shared" si="14"/>
        <v>10055</v>
      </c>
      <c r="M117" s="34">
        <f t="shared" si="11"/>
        <v>5070</v>
      </c>
      <c r="N117" s="34">
        <f t="shared" si="12"/>
        <v>7000</v>
      </c>
      <c r="O117" s="35">
        <f t="shared" si="13"/>
        <v>71649</v>
      </c>
    </row>
    <row r="118" spans="1:15" ht="30" customHeight="1" x14ac:dyDescent="0.25">
      <c r="A118" s="24">
        <v>115</v>
      </c>
      <c r="B118" s="25" t="s">
        <v>243</v>
      </c>
      <c r="C118" s="26" t="s">
        <v>244</v>
      </c>
      <c r="D118" s="55">
        <v>1</v>
      </c>
      <c r="E118" s="28">
        <f t="shared" si="15"/>
        <v>24</v>
      </c>
      <c r="F118" s="29">
        <v>1</v>
      </c>
      <c r="G118" s="40"/>
      <c r="H118" s="31"/>
      <c r="I118" s="32"/>
      <c r="J118" s="33"/>
      <c r="K118" s="37">
        <f>3030-2000</f>
        <v>1030</v>
      </c>
      <c r="L118" s="34">
        <f t="shared" si="14"/>
        <v>10055</v>
      </c>
      <c r="M118" s="34">
        <f t="shared" si="11"/>
        <v>5070</v>
      </c>
      <c r="N118" s="34">
        <f t="shared" si="12"/>
        <v>7000</v>
      </c>
      <c r="O118" s="35">
        <f t="shared" si="13"/>
        <v>23155</v>
      </c>
    </row>
    <row r="119" spans="1:15" ht="30" customHeight="1" x14ac:dyDescent="0.25">
      <c r="A119" s="24">
        <v>116</v>
      </c>
      <c r="B119" s="25" t="s">
        <v>245</v>
      </c>
      <c r="C119" s="26" t="s">
        <v>246</v>
      </c>
      <c r="D119" s="55">
        <v>1</v>
      </c>
      <c r="E119" s="28">
        <f t="shared" si="15"/>
        <v>24</v>
      </c>
      <c r="F119" s="29">
        <v>1</v>
      </c>
      <c r="G119" s="40"/>
      <c r="H119" s="31"/>
      <c r="I119" s="32"/>
      <c r="J119" s="33"/>
      <c r="K119" s="37">
        <v>74142</v>
      </c>
      <c r="L119" s="34">
        <f t="shared" si="14"/>
        <v>10055</v>
      </c>
      <c r="M119" s="34">
        <f t="shared" si="11"/>
        <v>5070</v>
      </c>
      <c r="N119" s="34">
        <f t="shared" si="12"/>
        <v>7000</v>
      </c>
      <c r="O119" s="35">
        <f t="shared" si="13"/>
        <v>96267</v>
      </c>
    </row>
    <row r="120" spans="1:15" ht="30" customHeight="1" x14ac:dyDescent="0.25">
      <c r="A120" s="24">
        <v>117</v>
      </c>
      <c r="B120" s="25" t="s">
        <v>247</v>
      </c>
      <c r="C120" s="26" t="s">
        <v>246</v>
      </c>
      <c r="D120" s="55">
        <v>1</v>
      </c>
      <c r="E120" s="28">
        <f t="shared" si="15"/>
        <v>24</v>
      </c>
      <c r="F120" s="29">
        <v>1</v>
      </c>
      <c r="G120" s="40"/>
      <c r="H120" s="31"/>
      <c r="I120" s="32"/>
      <c r="J120" s="33"/>
      <c r="K120" s="37">
        <v>44734</v>
      </c>
      <c r="L120" s="34">
        <f t="shared" si="14"/>
        <v>10055</v>
      </c>
      <c r="M120" s="34">
        <f t="shared" si="11"/>
        <v>5070</v>
      </c>
      <c r="N120" s="34">
        <f t="shared" si="12"/>
        <v>7000</v>
      </c>
      <c r="O120" s="35">
        <f t="shared" si="13"/>
        <v>66859</v>
      </c>
    </row>
    <row r="121" spans="1:15" ht="30" customHeight="1" x14ac:dyDescent="0.25">
      <c r="A121" s="24">
        <v>118</v>
      </c>
      <c r="B121" s="25" t="s">
        <v>248</v>
      </c>
      <c r="C121" s="48" t="s">
        <v>249</v>
      </c>
      <c r="D121" s="56">
        <v>1</v>
      </c>
      <c r="E121" s="50">
        <f t="shared" si="15"/>
        <v>24</v>
      </c>
      <c r="F121" s="51">
        <v>1</v>
      </c>
      <c r="G121" s="52"/>
      <c r="H121" s="53"/>
      <c r="I121" s="19"/>
      <c r="J121" s="54"/>
      <c r="K121" s="21"/>
      <c r="L121" s="34">
        <f t="shared" si="14"/>
        <v>10055</v>
      </c>
      <c r="M121" s="34">
        <f t="shared" si="11"/>
        <v>5070</v>
      </c>
      <c r="N121" s="34">
        <f t="shared" si="12"/>
        <v>7000</v>
      </c>
      <c r="O121" s="35">
        <f t="shared" si="13"/>
        <v>22125</v>
      </c>
    </row>
    <row r="122" spans="1:15" ht="30" customHeight="1" x14ac:dyDescent="0.25">
      <c r="A122" s="24">
        <v>119</v>
      </c>
      <c r="B122" s="25" t="s">
        <v>250</v>
      </c>
      <c r="C122" s="26" t="s">
        <v>251</v>
      </c>
      <c r="D122" s="55">
        <v>1</v>
      </c>
      <c r="E122" s="28">
        <f t="shared" si="15"/>
        <v>24</v>
      </c>
      <c r="F122" s="29">
        <v>1</v>
      </c>
      <c r="G122" s="40">
        <v>10055</v>
      </c>
      <c r="H122" s="31">
        <v>5070</v>
      </c>
      <c r="I122" s="32">
        <v>5000</v>
      </c>
      <c r="J122" s="33"/>
      <c r="K122" s="21"/>
      <c r="L122" s="34">
        <f t="shared" si="14"/>
        <v>0</v>
      </c>
      <c r="M122" s="34">
        <f t="shared" si="11"/>
        <v>0</v>
      </c>
      <c r="N122" s="34">
        <f t="shared" si="12"/>
        <v>2000</v>
      </c>
      <c r="O122" s="35">
        <f t="shared" si="13"/>
        <v>2000</v>
      </c>
    </row>
    <row r="123" spans="1:15" ht="30" customHeight="1" x14ac:dyDescent="0.25">
      <c r="A123" s="24">
        <v>120</v>
      </c>
      <c r="B123" s="25" t="s">
        <v>252</v>
      </c>
      <c r="C123" s="26" t="s">
        <v>253</v>
      </c>
      <c r="D123" s="55">
        <v>1</v>
      </c>
      <c r="E123" s="28">
        <f t="shared" si="15"/>
        <v>24</v>
      </c>
      <c r="F123" s="29">
        <v>1</v>
      </c>
      <c r="G123" s="40">
        <v>10055</v>
      </c>
      <c r="H123" s="31"/>
      <c r="I123" s="32">
        <v>5000</v>
      </c>
      <c r="J123" s="33"/>
      <c r="K123" s="21"/>
      <c r="L123" s="34">
        <f t="shared" si="14"/>
        <v>0</v>
      </c>
      <c r="M123" s="34">
        <f t="shared" si="11"/>
        <v>5070</v>
      </c>
      <c r="N123" s="34">
        <f t="shared" si="12"/>
        <v>2000</v>
      </c>
      <c r="O123" s="35">
        <f t="shared" si="13"/>
        <v>7070</v>
      </c>
    </row>
    <row r="124" spans="1:15" ht="30" customHeight="1" x14ac:dyDescent="0.25">
      <c r="A124" s="24">
        <v>121</v>
      </c>
      <c r="B124" s="25" t="s">
        <v>254</v>
      </c>
      <c r="C124" s="26" t="s">
        <v>255</v>
      </c>
      <c r="D124" s="55">
        <v>1</v>
      </c>
      <c r="E124" s="28">
        <f t="shared" si="15"/>
        <v>24</v>
      </c>
      <c r="F124" s="29">
        <v>1</v>
      </c>
      <c r="G124" s="40"/>
      <c r="H124" s="31"/>
      <c r="I124" s="32"/>
      <c r="J124" s="33"/>
      <c r="K124" s="21"/>
      <c r="L124" s="34">
        <f t="shared" si="14"/>
        <v>10055</v>
      </c>
      <c r="M124" s="34">
        <f t="shared" ref="M124:M158" si="16">(2200*F124)+2870-H124</f>
        <v>5070</v>
      </c>
      <c r="N124" s="34">
        <f t="shared" ref="N124:N146" si="17">7000*F124-I124-J124</f>
        <v>7000</v>
      </c>
      <c r="O124" s="35">
        <f t="shared" si="13"/>
        <v>22125</v>
      </c>
    </row>
    <row r="125" spans="1:15" ht="30" customHeight="1" x14ac:dyDescent="0.25">
      <c r="A125" s="24">
        <v>122</v>
      </c>
      <c r="B125" s="25" t="s">
        <v>256</v>
      </c>
      <c r="C125" s="26" t="s">
        <v>257</v>
      </c>
      <c r="D125" s="55">
        <v>1</v>
      </c>
      <c r="E125" s="28">
        <f t="shared" si="15"/>
        <v>24</v>
      </c>
      <c r="F125" s="29">
        <v>1</v>
      </c>
      <c r="G125" s="40">
        <f>7000+3055</f>
        <v>10055</v>
      </c>
      <c r="H125" s="31"/>
      <c r="I125" s="32">
        <f>2500+2000</f>
        <v>4500</v>
      </c>
      <c r="J125" s="33"/>
      <c r="K125" s="21"/>
      <c r="L125" s="34">
        <f t="shared" si="14"/>
        <v>0</v>
      </c>
      <c r="M125" s="34">
        <f t="shared" si="16"/>
        <v>5070</v>
      </c>
      <c r="N125" s="34">
        <f t="shared" si="17"/>
        <v>2500</v>
      </c>
      <c r="O125" s="35">
        <f t="shared" si="13"/>
        <v>7570</v>
      </c>
    </row>
    <row r="126" spans="1:15" ht="30" customHeight="1" x14ac:dyDescent="0.25">
      <c r="A126" s="24">
        <v>123</v>
      </c>
      <c r="B126" s="25" t="s">
        <v>258</v>
      </c>
      <c r="C126" s="39" t="s">
        <v>259</v>
      </c>
      <c r="D126" s="55">
        <v>1</v>
      </c>
      <c r="E126" s="28">
        <f t="shared" si="15"/>
        <v>24</v>
      </c>
      <c r="F126" s="29">
        <v>1</v>
      </c>
      <c r="G126" s="40"/>
      <c r="H126" s="31"/>
      <c r="I126" s="32"/>
      <c r="J126" s="33"/>
      <c r="K126" s="37">
        <v>47909</v>
      </c>
      <c r="L126" s="34">
        <f t="shared" si="14"/>
        <v>10055</v>
      </c>
      <c r="M126" s="34">
        <f t="shared" si="16"/>
        <v>5070</v>
      </c>
      <c r="N126" s="34">
        <f t="shared" si="17"/>
        <v>7000</v>
      </c>
      <c r="O126" s="35">
        <f t="shared" si="13"/>
        <v>70034</v>
      </c>
    </row>
    <row r="127" spans="1:15" ht="30" customHeight="1" x14ac:dyDescent="0.25">
      <c r="A127" s="24">
        <v>124</v>
      </c>
      <c r="B127" s="25" t="s">
        <v>260</v>
      </c>
      <c r="C127" s="48" t="s">
        <v>261</v>
      </c>
      <c r="D127" s="56">
        <v>1</v>
      </c>
      <c r="E127" s="50">
        <f t="shared" si="15"/>
        <v>24</v>
      </c>
      <c r="F127" s="51">
        <v>1</v>
      </c>
      <c r="G127" s="52">
        <v>2870</v>
      </c>
      <c r="H127" s="53"/>
      <c r="I127" s="19"/>
      <c r="J127" s="54"/>
      <c r="K127" s="21"/>
      <c r="L127" s="34">
        <f t="shared" si="14"/>
        <v>7185</v>
      </c>
      <c r="M127" s="34">
        <f t="shared" si="16"/>
        <v>5070</v>
      </c>
      <c r="N127" s="34">
        <f t="shared" si="17"/>
        <v>7000</v>
      </c>
      <c r="O127" s="35">
        <f t="shared" si="13"/>
        <v>19255</v>
      </c>
    </row>
    <row r="128" spans="1:15" ht="30" customHeight="1" x14ac:dyDescent="0.25">
      <c r="A128" s="24">
        <v>125</v>
      </c>
      <c r="B128" s="25" t="s">
        <v>262</v>
      </c>
      <c r="C128" s="26" t="s">
        <v>263</v>
      </c>
      <c r="D128" s="55">
        <v>1</v>
      </c>
      <c r="E128" s="28">
        <f t="shared" si="15"/>
        <v>60</v>
      </c>
      <c r="F128" s="29">
        <v>2.5</v>
      </c>
      <c r="G128" s="40">
        <v>8000</v>
      </c>
      <c r="H128" s="31"/>
      <c r="I128" s="32"/>
      <c r="J128" s="33"/>
      <c r="K128" s="21"/>
      <c r="L128" s="34">
        <f t="shared" si="14"/>
        <v>5355</v>
      </c>
      <c r="M128" s="34">
        <f t="shared" si="16"/>
        <v>8370</v>
      </c>
      <c r="N128" s="34">
        <f t="shared" si="17"/>
        <v>17500</v>
      </c>
      <c r="O128" s="35">
        <f t="shared" si="13"/>
        <v>31225</v>
      </c>
    </row>
    <row r="129" spans="1:15" ht="30" customHeight="1" x14ac:dyDescent="0.25">
      <c r="A129" s="24">
        <v>126</v>
      </c>
      <c r="B129" s="25" t="s">
        <v>264</v>
      </c>
      <c r="C129" s="26" t="s">
        <v>265</v>
      </c>
      <c r="D129" s="55">
        <v>1</v>
      </c>
      <c r="E129" s="28">
        <f t="shared" si="15"/>
        <v>60</v>
      </c>
      <c r="F129" s="29">
        <v>2.5</v>
      </c>
      <c r="G129" s="40"/>
      <c r="H129" s="31"/>
      <c r="I129" s="32"/>
      <c r="J129" s="33"/>
      <c r="K129" s="37">
        <f>40827-10000-10000-4000</f>
        <v>16827</v>
      </c>
      <c r="L129" s="34">
        <f t="shared" si="14"/>
        <v>13355</v>
      </c>
      <c r="M129" s="34">
        <f t="shared" si="16"/>
        <v>8370</v>
      </c>
      <c r="N129" s="34">
        <f t="shared" si="17"/>
        <v>17500</v>
      </c>
      <c r="O129" s="35">
        <f t="shared" ref="O129:O192" si="18">SUM(K129:N129)</f>
        <v>56052</v>
      </c>
    </row>
    <row r="130" spans="1:15" ht="30" customHeight="1" x14ac:dyDescent="0.25">
      <c r="A130" s="24">
        <v>127</v>
      </c>
      <c r="B130" s="25" t="s">
        <v>266</v>
      </c>
      <c r="C130" s="26" t="s">
        <v>267</v>
      </c>
      <c r="D130" s="55">
        <v>1</v>
      </c>
      <c r="E130" s="28">
        <f t="shared" si="15"/>
        <v>40.08</v>
      </c>
      <c r="F130" s="29">
        <v>1.67</v>
      </c>
      <c r="G130" s="40">
        <f>3900+3000+3000</f>
        <v>9900</v>
      </c>
      <c r="H130" s="31"/>
      <c r="I130" s="32"/>
      <c r="J130" s="33"/>
      <c r="K130" s="21"/>
      <c r="L130" s="34">
        <f t="shared" si="14"/>
        <v>1629</v>
      </c>
      <c r="M130" s="34">
        <f t="shared" si="16"/>
        <v>6544</v>
      </c>
      <c r="N130" s="34">
        <f t="shared" si="17"/>
        <v>11690</v>
      </c>
      <c r="O130" s="35">
        <f t="shared" si="18"/>
        <v>19863</v>
      </c>
    </row>
    <row r="131" spans="1:15" ht="30" customHeight="1" x14ac:dyDescent="0.25">
      <c r="A131" s="24">
        <v>128</v>
      </c>
      <c r="B131" s="25" t="s">
        <v>268</v>
      </c>
      <c r="C131" s="26" t="s">
        <v>269</v>
      </c>
      <c r="D131" s="55">
        <v>1</v>
      </c>
      <c r="E131" s="28">
        <f t="shared" si="15"/>
        <v>60</v>
      </c>
      <c r="F131" s="29">
        <v>2.5</v>
      </c>
      <c r="G131" s="40"/>
      <c r="H131" s="31"/>
      <c r="I131" s="32"/>
      <c r="J131" s="33"/>
      <c r="K131" s="37">
        <v>31429</v>
      </c>
      <c r="L131" s="34">
        <f t="shared" si="14"/>
        <v>13355</v>
      </c>
      <c r="M131" s="34">
        <f t="shared" si="16"/>
        <v>8370</v>
      </c>
      <c r="N131" s="34">
        <f t="shared" si="17"/>
        <v>17500</v>
      </c>
      <c r="O131" s="35">
        <f t="shared" si="18"/>
        <v>70654</v>
      </c>
    </row>
    <row r="132" spans="1:15" ht="30" customHeight="1" x14ac:dyDescent="0.25">
      <c r="A132" s="24">
        <v>129</v>
      </c>
      <c r="B132" s="25" t="s">
        <v>270</v>
      </c>
      <c r="C132" s="48" t="s">
        <v>271</v>
      </c>
      <c r="D132" s="56">
        <v>1</v>
      </c>
      <c r="E132" s="50">
        <v>106</v>
      </c>
      <c r="F132" s="51">
        <v>4.41</v>
      </c>
      <c r="G132" s="52"/>
      <c r="H132" s="53"/>
      <c r="I132" s="19"/>
      <c r="J132" s="54"/>
      <c r="K132" s="37">
        <f>35614-10000-5000</f>
        <v>20614</v>
      </c>
      <c r="L132" s="34">
        <f t="shared" ref="L132:L183" si="19">(2200*F132)+7855-G132</f>
        <v>17557</v>
      </c>
      <c r="M132" s="34">
        <f t="shared" si="16"/>
        <v>12572</v>
      </c>
      <c r="N132" s="34">
        <f t="shared" si="17"/>
        <v>30870</v>
      </c>
      <c r="O132" s="35">
        <f t="shared" si="18"/>
        <v>81613</v>
      </c>
    </row>
    <row r="133" spans="1:15" ht="30" customHeight="1" x14ac:dyDescent="0.25">
      <c r="A133" s="24">
        <v>130</v>
      </c>
      <c r="B133" s="25" t="s">
        <v>272</v>
      </c>
      <c r="C133" s="48" t="s">
        <v>271</v>
      </c>
      <c r="D133" s="55">
        <v>1</v>
      </c>
      <c r="E133" s="28">
        <v>58.1</v>
      </c>
      <c r="F133" s="29">
        <v>2.42</v>
      </c>
      <c r="G133" s="40"/>
      <c r="H133" s="31"/>
      <c r="I133" s="32"/>
      <c r="J133" s="33"/>
      <c r="K133" s="37">
        <f>20450-15000-2000</f>
        <v>3450</v>
      </c>
      <c r="L133" s="34">
        <f t="shared" si="19"/>
        <v>13179</v>
      </c>
      <c r="M133" s="34">
        <f t="shared" si="16"/>
        <v>8194</v>
      </c>
      <c r="N133" s="34">
        <f t="shared" si="17"/>
        <v>16940</v>
      </c>
      <c r="O133" s="35">
        <f t="shared" si="18"/>
        <v>41763</v>
      </c>
    </row>
    <row r="134" spans="1:15" ht="30" customHeight="1" x14ac:dyDescent="0.25">
      <c r="A134" s="24">
        <v>131</v>
      </c>
      <c r="B134" s="25" t="s">
        <v>273</v>
      </c>
      <c r="C134" s="38" t="s">
        <v>274</v>
      </c>
      <c r="D134" s="57">
        <v>1</v>
      </c>
      <c r="E134" s="28">
        <v>24</v>
      </c>
      <c r="F134" s="29">
        <v>1</v>
      </c>
      <c r="G134" s="40">
        <f>1261+2000+2000+2000+2000</f>
        <v>9261</v>
      </c>
      <c r="H134" s="31"/>
      <c r="I134" s="32"/>
      <c r="J134" s="33"/>
      <c r="K134" s="21"/>
      <c r="L134" s="34">
        <f t="shared" si="19"/>
        <v>794</v>
      </c>
      <c r="M134" s="34">
        <f t="shared" si="16"/>
        <v>5070</v>
      </c>
      <c r="N134" s="34">
        <f t="shared" si="17"/>
        <v>7000</v>
      </c>
      <c r="O134" s="35">
        <f t="shared" si="18"/>
        <v>12864</v>
      </c>
    </row>
    <row r="135" spans="1:15" ht="30" customHeight="1" x14ac:dyDescent="0.25">
      <c r="A135" s="24">
        <v>132</v>
      </c>
      <c r="B135" s="25" t="s">
        <v>275</v>
      </c>
      <c r="C135" s="38" t="s">
        <v>276</v>
      </c>
      <c r="D135" s="55">
        <v>1</v>
      </c>
      <c r="E135" s="28" t="s">
        <v>277</v>
      </c>
      <c r="F135" s="29">
        <v>1</v>
      </c>
      <c r="G135" s="40">
        <v>10055</v>
      </c>
      <c r="H135" s="31"/>
      <c r="I135" s="32">
        <v>0</v>
      </c>
      <c r="J135" s="33"/>
      <c r="K135" s="21"/>
      <c r="L135" s="34">
        <f t="shared" si="19"/>
        <v>0</v>
      </c>
      <c r="M135" s="34">
        <f t="shared" si="16"/>
        <v>5070</v>
      </c>
      <c r="N135" s="34">
        <f t="shared" si="17"/>
        <v>7000</v>
      </c>
      <c r="O135" s="35">
        <f t="shared" si="18"/>
        <v>12070</v>
      </c>
    </row>
    <row r="136" spans="1:15" ht="30" customHeight="1" x14ac:dyDescent="0.25">
      <c r="A136" s="24">
        <v>133</v>
      </c>
      <c r="B136" s="25" t="s">
        <v>278</v>
      </c>
      <c r="C136" s="26" t="s">
        <v>279</v>
      </c>
      <c r="D136" s="55">
        <v>1</v>
      </c>
      <c r="E136" s="28">
        <f t="shared" ref="E136:E142" si="20">$E$1*F136</f>
        <v>24</v>
      </c>
      <c r="F136" s="29">
        <v>1</v>
      </c>
      <c r="G136" s="40">
        <v>10055</v>
      </c>
      <c r="H136" s="31">
        <v>4000</v>
      </c>
      <c r="I136" s="32">
        <v>7000</v>
      </c>
      <c r="J136" s="33"/>
      <c r="K136" s="21"/>
      <c r="L136" s="34">
        <f t="shared" si="19"/>
        <v>0</v>
      </c>
      <c r="M136" s="34">
        <f t="shared" si="16"/>
        <v>1070</v>
      </c>
      <c r="N136" s="34">
        <f t="shared" si="17"/>
        <v>0</v>
      </c>
      <c r="O136" s="35">
        <f t="shared" si="18"/>
        <v>1070</v>
      </c>
    </row>
    <row r="137" spans="1:15" ht="30" customHeight="1" x14ac:dyDescent="0.25">
      <c r="A137" s="24">
        <v>134</v>
      </c>
      <c r="B137" s="25" t="s">
        <v>280</v>
      </c>
      <c r="C137" s="38" t="s">
        <v>281</v>
      </c>
      <c r="D137" s="55">
        <v>1</v>
      </c>
      <c r="E137" s="28">
        <f t="shared" si="20"/>
        <v>24</v>
      </c>
      <c r="F137" s="29">
        <v>1</v>
      </c>
      <c r="G137" s="40">
        <v>10055</v>
      </c>
      <c r="H137" s="31">
        <v>2000</v>
      </c>
      <c r="I137" s="32">
        <f>3000+4000</f>
        <v>7000</v>
      </c>
      <c r="J137" s="33"/>
      <c r="K137" s="21"/>
      <c r="L137" s="34">
        <f t="shared" si="19"/>
        <v>0</v>
      </c>
      <c r="M137" s="34">
        <f t="shared" si="16"/>
        <v>3070</v>
      </c>
      <c r="N137" s="34">
        <f t="shared" si="17"/>
        <v>0</v>
      </c>
      <c r="O137" s="35">
        <f t="shared" si="18"/>
        <v>3070</v>
      </c>
    </row>
    <row r="138" spans="1:15" ht="30" customHeight="1" x14ac:dyDescent="0.25">
      <c r="A138" s="24">
        <v>135</v>
      </c>
      <c r="B138" s="25" t="s">
        <v>282</v>
      </c>
      <c r="C138" s="26" t="s">
        <v>283</v>
      </c>
      <c r="D138" s="55">
        <v>1</v>
      </c>
      <c r="E138" s="28">
        <f t="shared" si="20"/>
        <v>24</v>
      </c>
      <c r="F138" s="29">
        <v>1</v>
      </c>
      <c r="G138" s="40">
        <v>9358</v>
      </c>
      <c r="H138" s="31"/>
      <c r="I138" s="32"/>
      <c r="J138" s="33"/>
      <c r="K138" s="21"/>
      <c r="L138" s="34">
        <f t="shared" si="19"/>
        <v>697</v>
      </c>
      <c r="M138" s="34">
        <f t="shared" si="16"/>
        <v>5070</v>
      </c>
      <c r="N138" s="34">
        <f t="shared" si="17"/>
        <v>7000</v>
      </c>
      <c r="O138" s="35">
        <f t="shared" si="18"/>
        <v>12767</v>
      </c>
    </row>
    <row r="139" spans="1:15" ht="30" customHeight="1" x14ac:dyDescent="0.25">
      <c r="A139" s="24">
        <v>136</v>
      </c>
      <c r="B139" s="25" t="s">
        <v>284</v>
      </c>
      <c r="C139" s="26" t="s">
        <v>285</v>
      </c>
      <c r="D139" s="55">
        <v>1</v>
      </c>
      <c r="E139" s="28">
        <f t="shared" si="20"/>
        <v>24</v>
      </c>
      <c r="F139" s="29">
        <v>1</v>
      </c>
      <c r="G139" s="40"/>
      <c r="H139" s="31"/>
      <c r="I139" s="32"/>
      <c r="J139" s="33"/>
      <c r="K139" s="21"/>
      <c r="L139" s="34">
        <f t="shared" si="19"/>
        <v>10055</v>
      </c>
      <c r="M139" s="34">
        <f t="shared" si="16"/>
        <v>5070</v>
      </c>
      <c r="N139" s="34">
        <f t="shared" si="17"/>
        <v>7000</v>
      </c>
      <c r="O139" s="35">
        <f t="shared" si="18"/>
        <v>22125</v>
      </c>
    </row>
    <row r="140" spans="1:15" ht="30" customHeight="1" x14ac:dyDescent="0.25">
      <c r="A140" s="24">
        <v>137</v>
      </c>
      <c r="B140" s="25" t="s">
        <v>286</v>
      </c>
      <c r="C140" s="38" t="s">
        <v>287</v>
      </c>
      <c r="D140" s="55">
        <v>1</v>
      </c>
      <c r="E140" s="28">
        <f t="shared" si="20"/>
        <v>24</v>
      </c>
      <c r="F140" s="29">
        <v>1</v>
      </c>
      <c r="G140" s="40">
        <v>6970</v>
      </c>
      <c r="H140" s="31"/>
      <c r="I140" s="32"/>
      <c r="J140" s="33"/>
      <c r="K140" s="37">
        <f>3030-3030</f>
        <v>0</v>
      </c>
      <c r="L140" s="34">
        <f t="shared" si="19"/>
        <v>3085</v>
      </c>
      <c r="M140" s="34">
        <f t="shared" si="16"/>
        <v>5070</v>
      </c>
      <c r="N140" s="34">
        <f t="shared" si="17"/>
        <v>7000</v>
      </c>
      <c r="O140" s="35">
        <f t="shared" si="18"/>
        <v>15155</v>
      </c>
    </row>
    <row r="141" spans="1:15" ht="30" customHeight="1" x14ac:dyDescent="0.25">
      <c r="A141" s="24">
        <v>138</v>
      </c>
      <c r="B141" s="25" t="s">
        <v>288</v>
      </c>
      <c r="C141" s="38" t="s">
        <v>289</v>
      </c>
      <c r="D141" s="55">
        <v>1</v>
      </c>
      <c r="E141" s="28">
        <f t="shared" si="20"/>
        <v>24</v>
      </c>
      <c r="F141" s="29">
        <v>1</v>
      </c>
      <c r="G141" s="40">
        <v>10055</v>
      </c>
      <c r="H141" s="31"/>
      <c r="I141" s="32"/>
      <c r="J141" s="33"/>
      <c r="K141" s="21"/>
      <c r="L141" s="34">
        <f t="shared" si="19"/>
        <v>0</v>
      </c>
      <c r="M141" s="34">
        <f t="shared" si="16"/>
        <v>5070</v>
      </c>
      <c r="N141" s="34">
        <f t="shared" si="17"/>
        <v>7000</v>
      </c>
      <c r="O141" s="35">
        <f t="shared" si="18"/>
        <v>12070</v>
      </c>
    </row>
    <row r="142" spans="1:15" ht="30" customHeight="1" x14ac:dyDescent="0.25">
      <c r="A142" s="24">
        <v>139</v>
      </c>
      <c r="B142" s="25" t="s">
        <v>290</v>
      </c>
      <c r="C142" s="26" t="s">
        <v>291</v>
      </c>
      <c r="D142" s="55">
        <v>1</v>
      </c>
      <c r="E142" s="28">
        <f t="shared" si="20"/>
        <v>24</v>
      </c>
      <c r="F142" s="29">
        <v>1</v>
      </c>
      <c r="G142" s="40"/>
      <c r="H142" s="31"/>
      <c r="I142" s="32"/>
      <c r="J142" s="33"/>
      <c r="K142" s="37">
        <v>79115</v>
      </c>
      <c r="L142" s="34">
        <f t="shared" si="19"/>
        <v>10055</v>
      </c>
      <c r="M142" s="34">
        <f t="shared" si="16"/>
        <v>5070</v>
      </c>
      <c r="N142" s="34">
        <f t="shared" si="17"/>
        <v>7000</v>
      </c>
      <c r="O142" s="35">
        <f t="shared" si="18"/>
        <v>101240</v>
      </c>
    </row>
    <row r="143" spans="1:15" ht="30" customHeight="1" x14ac:dyDescent="0.25">
      <c r="A143" s="24">
        <v>140</v>
      </c>
      <c r="B143" s="25" t="s">
        <v>292</v>
      </c>
      <c r="C143" s="48" t="s">
        <v>271</v>
      </c>
      <c r="D143" s="55">
        <v>1</v>
      </c>
      <c r="E143" s="28">
        <v>96</v>
      </c>
      <c r="F143" s="29">
        <v>4</v>
      </c>
      <c r="G143" s="40">
        <f>10+1750+7500+7395</f>
        <v>16655</v>
      </c>
      <c r="H143" s="31"/>
      <c r="I143" s="32">
        <f>1855+1000+8600+4000+4000</f>
        <v>19455</v>
      </c>
      <c r="J143" s="33"/>
      <c r="K143" s="21"/>
      <c r="L143" s="34">
        <f t="shared" si="19"/>
        <v>0</v>
      </c>
      <c r="M143" s="34">
        <f t="shared" si="16"/>
        <v>11670</v>
      </c>
      <c r="N143" s="34">
        <f t="shared" si="17"/>
        <v>8545</v>
      </c>
      <c r="O143" s="35">
        <f t="shared" si="18"/>
        <v>20215</v>
      </c>
    </row>
    <row r="144" spans="1:15" ht="30" customHeight="1" x14ac:dyDescent="0.25">
      <c r="A144" s="24">
        <v>141</v>
      </c>
      <c r="B144" s="25" t="s">
        <v>293</v>
      </c>
      <c r="C144" s="58" t="s">
        <v>294</v>
      </c>
      <c r="D144" s="55">
        <v>1</v>
      </c>
      <c r="E144" s="28">
        <f>$E$1*F144</f>
        <v>36</v>
      </c>
      <c r="F144" s="29">
        <v>1.5</v>
      </c>
      <c r="G144" s="40">
        <v>10055</v>
      </c>
      <c r="H144" s="31">
        <v>5070</v>
      </c>
      <c r="I144" s="32">
        <v>7000</v>
      </c>
      <c r="J144" s="33"/>
      <c r="K144" s="21"/>
      <c r="L144" s="34">
        <f t="shared" si="19"/>
        <v>1100</v>
      </c>
      <c r="M144" s="34">
        <f t="shared" si="16"/>
        <v>1100</v>
      </c>
      <c r="N144" s="34">
        <f t="shared" si="17"/>
        <v>3500</v>
      </c>
      <c r="O144" s="35">
        <f t="shared" si="18"/>
        <v>5700</v>
      </c>
    </row>
    <row r="145" spans="1:15" ht="30" customHeight="1" x14ac:dyDescent="0.25">
      <c r="A145" s="24">
        <v>142</v>
      </c>
      <c r="B145" s="25" t="s">
        <v>295</v>
      </c>
      <c r="C145" s="38" t="s">
        <v>296</v>
      </c>
      <c r="D145" s="55">
        <v>1</v>
      </c>
      <c r="E145" s="28">
        <v>37.700000000000003</v>
      </c>
      <c r="F145" s="29">
        <v>1.57</v>
      </c>
      <c r="G145" s="40">
        <v>11309</v>
      </c>
      <c r="H145" s="31"/>
      <c r="I145" s="32"/>
      <c r="J145" s="33"/>
      <c r="K145" s="21"/>
      <c r="L145" s="34">
        <f t="shared" si="19"/>
        <v>0</v>
      </c>
      <c r="M145" s="34">
        <f t="shared" si="16"/>
        <v>6324</v>
      </c>
      <c r="N145" s="34">
        <f t="shared" si="17"/>
        <v>10990</v>
      </c>
      <c r="O145" s="35">
        <f t="shared" si="18"/>
        <v>17314</v>
      </c>
    </row>
    <row r="146" spans="1:15" ht="30" customHeight="1" x14ac:dyDescent="0.25">
      <c r="A146" s="24">
        <v>143</v>
      </c>
      <c r="B146" s="25" t="s">
        <v>297</v>
      </c>
      <c r="C146" s="26" t="s">
        <v>298</v>
      </c>
      <c r="D146" s="55">
        <v>1</v>
      </c>
      <c r="E146" s="28">
        <v>41</v>
      </c>
      <c r="F146" s="29">
        <v>1.7</v>
      </c>
      <c r="G146" s="40">
        <f>10600+995</f>
        <v>11595</v>
      </c>
      <c r="H146" s="31"/>
      <c r="I146" s="32">
        <v>755</v>
      </c>
      <c r="J146" s="33"/>
      <c r="K146" s="21"/>
      <c r="L146" s="34">
        <f t="shared" si="19"/>
        <v>0</v>
      </c>
      <c r="M146" s="34">
        <f t="shared" si="16"/>
        <v>6610</v>
      </c>
      <c r="N146" s="34">
        <f t="shared" si="17"/>
        <v>11145</v>
      </c>
      <c r="O146" s="35">
        <f t="shared" si="18"/>
        <v>17755</v>
      </c>
    </row>
    <row r="147" spans="1:15" ht="30" customHeight="1" x14ac:dyDescent="0.25">
      <c r="A147" s="24">
        <v>144</v>
      </c>
      <c r="B147" s="25" t="s">
        <v>299</v>
      </c>
      <c r="C147" s="26" t="s">
        <v>300</v>
      </c>
      <c r="D147" s="55">
        <v>1</v>
      </c>
      <c r="E147" s="28">
        <f t="shared" ref="E147:E174" si="21">$E$1*F147</f>
        <v>33.599999999999994</v>
      </c>
      <c r="F147" s="29">
        <v>1.4</v>
      </c>
      <c r="G147" s="40"/>
      <c r="H147" s="31"/>
      <c r="I147" s="32"/>
      <c r="J147" s="33"/>
      <c r="K147" s="37">
        <v>17878</v>
      </c>
      <c r="L147" s="34">
        <f t="shared" si="19"/>
        <v>10935</v>
      </c>
      <c r="M147" s="34">
        <f t="shared" si="16"/>
        <v>5950</v>
      </c>
      <c r="N147" s="34">
        <f>3000*F147-I147-J147</f>
        <v>4200</v>
      </c>
      <c r="O147" s="35">
        <f t="shared" si="18"/>
        <v>38963</v>
      </c>
    </row>
    <row r="148" spans="1:15" ht="30" customHeight="1" x14ac:dyDescent="0.25">
      <c r="A148" s="24">
        <v>145</v>
      </c>
      <c r="B148" s="25" t="s">
        <v>301</v>
      </c>
      <c r="C148" s="26" t="s">
        <v>302</v>
      </c>
      <c r="D148" s="55">
        <v>1</v>
      </c>
      <c r="E148" s="28">
        <f t="shared" si="21"/>
        <v>24</v>
      </c>
      <c r="F148" s="29">
        <v>1</v>
      </c>
      <c r="G148" s="40"/>
      <c r="H148" s="31"/>
      <c r="I148" s="32"/>
      <c r="J148" s="33"/>
      <c r="K148" s="37">
        <f>33409-10000</f>
        <v>23409</v>
      </c>
      <c r="L148" s="34">
        <f t="shared" si="19"/>
        <v>10055</v>
      </c>
      <c r="M148" s="34">
        <f t="shared" si="16"/>
        <v>5070</v>
      </c>
      <c r="N148" s="34">
        <f t="shared" ref="N148:N154" si="22">7000*F148-I148-J148</f>
        <v>7000</v>
      </c>
      <c r="O148" s="35">
        <f t="shared" si="18"/>
        <v>45534</v>
      </c>
    </row>
    <row r="149" spans="1:15" ht="30" customHeight="1" x14ac:dyDescent="0.25">
      <c r="A149" s="24">
        <v>146</v>
      </c>
      <c r="B149" s="25" t="s">
        <v>303</v>
      </c>
      <c r="C149" s="26" t="s">
        <v>304</v>
      </c>
      <c r="D149" s="59">
        <v>1</v>
      </c>
      <c r="E149" s="28">
        <f t="shared" si="21"/>
        <v>24</v>
      </c>
      <c r="F149" s="29">
        <v>1</v>
      </c>
      <c r="G149" s="40"/>
      <c r="H149" s="31"/>
      <c r="I149" s="32"/>
      <c r="J149" s="33"/>
      <c r="K149" s="37">
        <v>31866</v>
      </c>
      <c r="L149" s="34">
        <f t="shared" si="19"/>
        <v>10055</v>
      </c>
      <c r="M149" s="34">
        <f t="shared" si="16"/>
        <v>5070</v>
      </c>
      <c r="N149" s="34">
        <f t="shared" si="22"/>
        <v>7000</v>
      </c>
      <c r="O149" s="35">
        <f t="shared" si="18"/>
        <v>53991</v>
      </c>
    </row>
    <row r="150" spans="1:15" ht="30" customHeight="1" x14ac:dyDescent="0.25">
      <c r="A150" s="24">
        <v>147</v>
      </c>
      <c r="B150" s="25" t="s">
        <v>305</v>
      </c>
      <c r="C150" s="26" t="s">
        <v>306</v>
      </c>
      <c r="D150" s="59">
        <v>1</v>
      </c>
      <c r="E150" s="28">
        <f t="shared" si="21"/>
        <v>24</v>
      </c>
      <c r="F150" s="29">
        <v>1</v>
      </c>
      <c r="G150" s="40">
        <v>10055</v>
      </c>
      <c r="H150" s="31">
        <f>1000+1500+1700</f>
        <v>4200</v>
      </c>
      <c r="I150" s="32">
        <f>3000+3000</f>
        <v>6000</v>
      </c>
      <c r="J150" s="33">
        <v>1000</v>
      </c>
      <c r="K150" s="21"/>
      <c r="L150" s="34">
        <f t="shared" si="19"/>
        <v>0</v>
      </c>
      <c r="M150" s="34">
        <f t="shared" si="16"/>
        <v>870</v>
      </c>
      <c r="N150" s="34">
        <f t="shared" si="22"/>
        <v>0</v>
      </c>
      <c r="O150" s="35">
        <f t="shared" si="18"/>
        <v>870</v>
      </c>
    </row>
    <row r="151" spans="1:15" ht="30" customHeight="1" x14ac:dyDescent="0.25">
      <c r="A151" s="24">
        <v>148</v>
      </c>
      <c r="B151" s="25" t="s">
        <v>307</v>
      </c>
      <c r="C151" s="26" t="s">
        <v>308</v>
      </c>
      <c r="D151" s="60">
        <v>1</v>
      </c>
      <c r="E151" s="28">
        <f t="shared" si="21"/>
        <v>24</v>
      </c>
      <c r="F151" s="29">
        <v>1</v>
      </c>
      <c r="G151" s="40">
        <f>1360+1000+2500+2000+2000+1195</f>
        <v>10055</v>
      </c>
      <c r="H151" s="31"/>
      <c r="I151" s="32">
        <f>305+4000</f>
        <v>4305</v>
      </c>
      <c r="J151" s="33"/>
      <c r="K151" s="21"/>
      <c r="L151" s="34">
        <f t="shared" si="19"/>
        <v>0</v>
      </c>
      <c r="M151" s="34">
        <f t="shared" si="16"/>
        <v>5070</v>
      </c>
      <c r="N151" s="34">
        <f t="shared" si="22"/>
        <v>2695</v>
      </c>
      <c r="O151" s="35">
        <f t="shared" si="18"/>
        <v>7765</v>
      </c>
    </row>
    <row r="152" spans="1:15" ht="30" customHeight="1" x14ac:dyDescent="0.25">
      <c r="A152" s="24">
        <v>149</v>
      </c>
      <c r="B152" s="25" t="s">
        <v>309</v>
      </c>
      <c r="C152" s="26" t="s">
        <v>310</v>
      </c>
      <c r="D152" s="60">
        <v>1</v>
      </c>
      <c r="E152" s="28">
        <f t="shared" si="21"/>
        <v>24</v>
      </c>
      <c r="F152" s="29">
        <v>1</v>
      </c>
      <c r="G152" s="40">
        <v>10055</v>
      </c>
      <c r="H152" s="31"/>
      <c r="I152" s="32">
        <v>2000</v>
      </c>
      <c r="J152" s="33"/>
      <c r="K152" s="21"/>
      <c r="L152" s="34">
        <f t="shared" si="19"/>
        <v>0</v>
      </c>
      <c r="M152" s="34">
        <f t="shared" si="16"/>
        <v>5070</v>
      </c>
      <c r="N152" s="34">
        <f t="shared" si="22"/>
        <v>5000</v>
      </c>
      <c r="O152" s="35">
        <f t="shared" si="18"/>
        <v>10070</v>
      </c>
    </row>
    <row r="153" spans="1:15" ht="30" customHeight="1" x14ac:dyDescent="0.25">
      <c r="A153" s="24">
        <v>150</v>
      </c>
      <c r="B153" s="25" t="s">
        <v>311</v>
      </c>
      <c r="C153" s="26" t="s">
        <v>312</v>
      </c>
      <c r="D153" s="60">
        <v>1</v>
      </c>
      <c r="E153" s="28">
        <f t="shared" si="21"/>
        <v>24</v>
      </c>
      <c r="F153" s="29">
        <v>1</v>
      </c>
      <c r="G153" s="40"/>
      <c r="H153" s="31"/>
      <c r="I153" s="32"/>
      <c r="J153" s="33"/>
      <c r="K153" s="21"/>
      <c r="L153" s="34">
        <f t="shared" si="19"/>
        <v>10055</v>
      </c>
      <c r="M153" s="34">
        <f t="shared" si="16"/>
        <v>5070</v>
      </c>
      <c r="N153" s="34">
        <f t="shared" si="22"/>
        <v>7000</v>
      </c>
      <c r="O153" s="35">
        <f t="shared" si="18"/>
        <v>22125</v>
      </c>
    </row>
    <row r="154" spans="1:15" ht="30" customHeight="1" x14ac:dyDescent="0.25">
      <c r="A154" s="24">
        <v>151</v>
      </c>
      <c r="B154" s="25" t="s">
        <v>313</v>
      </c>
      <c r="C154" s="26" t="s">
        <v>314</v>
      </c>
      <c r="D154" s="60">
        <v>1</v>
      </c>
      <c r="E154" s="28">
        <f t="shared" si="21"/>
        <v>24</v>
      </c>
      <c r="F154" s="29">
        <v>1</v>
      </c>
      <c r="G154" s="40">
        <f>4000+5000</f>
        <v>9000</v>
      </c>
      <c r="H154" s="31"/>
      <c r="I154" s="32"/>
      <c r="J154" s="33"/>
      <c r="K154" s="21"/>
      <c r="L154" s="34">
        <f t="shared" si="19"/>
        <v>1055</v>
      </c>
      <c r="M154" s="34">
        <f t="shared" si="16"/>
        <v>5070</v>
      </c>
      <c r="N154" s="34">
        <f t="shared" si="22"/>
        <v>7000</v>
      </c>
      <c r="O154" s="35">
        <f t="shared" si="18"/>
        <v>13125</v>
      </c>
    </row>
    <row r="155" spans="1:15" ht="30" customHeight="1" x14ac:dyDescent="0.25">
      <c r="A155" s="24">
        <v>152</v>
      </c>
      <c r="B155" s="25" t="s">
        <v>315</v>
      </c>
      <c r="C155" s="26" t="s">
        <v>316</v>
      </c>
      <c r="D155" s="59">
        <v>1</v>
      </c>
      <c r="E155" s="28">
        <f t="shared" si="21"/>
        <v>24</v>
      </c>
      <c r="F155" s="29">
        <v>1</v>
      </c>
      <c r="G155" s="40">
        <v>10055</v>
      </c>
      <c r="H155" s="31">
        <v>5070</v>
      </c>
      <c r="I155" s="32">
        <v>0</v>
      </c>
      <c r="J155" s="33">
        <v>0</v>
      </c>
      <c r="K155" s="21"/>
      <c r="L155" s="34">
        <f t="shared" si="19"/>
        <v>0</v>
      </c>
      <c r="M155" s="34">
        <f t="shared" si="16"/>
        <v>0</v>
      </c>
      <c r="N155" s="34">
        <f>7000*F155-I155-J155-4000</f>
        <v>3000</v>
      </c>
      <c r="O155" s="35">
        <f t="shared" si="18"/>
        <v>3000</v>
      </c>
    </row>
    <row r="156" spans="1:15" ht="30" customHeight="1" x14ac:dyDescent="0.25">
      <c r="A156" s="24">
        <v>153</v>
      </c>
      <c r="B156" s="25" t="s">
        <v>317</v>
      </c>
      <c r="C156" s="26" t="s">
        <v>318</v>
      </c>
      <c r="D156" s="59">
        <v>1</v>
      </c>
      <c r="E156" s="28">
        <f t="shared" si="21"/>
        <v>24</v>
      </c>
      <c r="F156" s="29">
        <v>1</v>
      </c>
      <c r="G156" s="40">
        <v>10055</v>
      </c>
      <c r="H156" s="31">
        <v>5070</v>
      </c>
      <c r="I156" s="32">
        <v>0</v>
      </c>
      <c r="J156" s="33">
        <v>0</v>
      </c>
      <c r="K156" s="21"/>
      <c r="L156" s="34">
        <f t="shared" si="19"/>
        <v>0</v>
      </c>
      <c r="M156" s="34">
        <f t="shared" si="16"/>
        <v>0</v>
      </c>
      <c r="N156" s="34">
        <f>7000*F156-I156-J156-4000</f>
        <v>3000</v>
      </c>
      <c r="O156" s="35">
        <f t="shared" si="18"/>
        <v>3000</v>
      </c>
    </row>
    <row r="157" spans="1:15" ht="30" customHeight="1" x14ac:dyDescent="0.25">
      <c r="A157" s="24">
        <v>154</v>
      </c>
      <c r="B157" s="25" t="s">
        <v>319</v>
      </c>
      <c r="C157" s="26" t="s">
        <v>320</v>
      </c>
      <c r="D157" s="59">
        <v>1</v>
      </c>
      <c r="E157" s="28">
        <f t="shared" si="21"/>
        <v>24</v>
      </c>
      <c r="F157" s="29">
        <v>1</v>
      </c>
      <c r="G157" s="40">
        <f>4800+5255</f>
        <v>10055</v>
      </c>
      <c r="H157" s="31">
        <v>1485</v>
      </c>
      <c r="I157" s="32"/>
      <c r="J157" s="33"/>
      <c r="K157" s="21"/>
      <c r="L157" s="34">
        <f t="shared" si="19"/>
        <v>0</v>
      </c>
      <c r="M157" s="34">
        <f t="shared" si="16"/>
        <v>3585</v>
      </c>
      <c r="N157" s="34">
        <f>7000*F157-I157-J157-4000</f>
        <v>3000</v>
      </c>
      <c r="O157" s="35">
        <f t="shared" si="18"/>
        <v>6585</v>
      </c>
    </row>
    <row r="158" spans="1:15" ht="30" customHeight="1" x14ac:dyDescent="0.25">
      <c r="A158" s="24">
        <v>155</v>
      </c>
      <c r="B158" s="25" t="s">
        <v>321</v>
      </c>
      <c r="C158" s="26" t="s">
        <v>322</v>
      </c>
      <c r="D158" s="59">
        <v>1</v>
      </c>
      <c r="E158" s="28">
        <f t="shared" si="21"/>
        <v>24</v>
      </c>
      <c r="F158" s="29">
        <v>1</v>
      </c>
      <c r="G158" s="40"/>
      <c r="H158" s="31"/>
      <c r="I158" s="32"/>
      <c r="J158" s="33"/>
      <c r="K158" s="37">
        <v>71278</v>
      </c>
      <c r="L158" s="34">
        <f t="shared" si="19"/>
        <v>10055</v>
      </c>
      <c r="M158" s="34">
        <f t="shared" si="16"/>
        <v>5070</v>
      </c>
      <c r="N158" s="34">
        <f>7000*F158-I158-J158-4000</f>
        <v>3000</v>
      </c>
      <c r="O158" s="35">
        <f t="shared" si="18"/>
        <v>89403</v>
      </c>
    </row>
    <row r="159" spans="1:15" ht="30" customHeight="1" x14ac:dyDescent="0.25">
      <c r="A159" s="24">
        <v>156</v>
      </c>
      <c r="B159" s="25" t="s">
        <v>323</v>
      </c>
      <c r="C159" s="26" t="s">
        <v>324</v>
      </c>
      <c r="D159" s="61">
        <v>0</v>
      </c>
      <c r="E159" s="28">
        <f t="shared" si="21"/>
        <v>24</v>
      </c>
      <c r="F159" s="29">
        <v>1</v>
      </c>
      <c r="G159" s="40"/>
      <c r="H159" s="31"/>
      <c r="I159" s="32">
        <v>0</v>
      </c>
      <c r="J159" s="33">
        <v>0</v>
      </c>
      <c r="K159" s="37">
        <v>4910</v>
      </c>
      <c r="L159" s="34">
        <f t="shared" si="19"/>
        <v>10055</v>
      </c>
      <c r="M159" s="34">
        <f>(2200*F159)+2870-H159-1000</f>
        <v>4070</v>
      </c>
      <c r="N159" s="34">
        <v>0</v>
      </c>
      <c r="O159" s="35">
        <f t="shared" si="18"/>
        <v>19035</v>
      </c>
    </row>
    <row r="160" spans="1:15" ht="30" customHeight="1" x14ac:dyDescent="0.25">
      <c r="A160" s="24">
        <v>157</v>
      </c>
      <c r="B160" s="25" t="s">
        <v>325</v>
      </c>
      <c r="C160" s="26" t="s">
        <v>326</v>
      </c>
      <c r="D160" s="59">
        <v>1</v>
      </c>
      <c r="E160" s="28">
        <f t="shared" si="21"/>
        <v>24</v>
      </c>
      <c r="F160" s="29">
        <v>1</v>
      </c>
      <c r="G160" s="40">
        <f>730+7000+2325</f>
        <v>10055</v>
      </c>
      <c r="H160" s="31">
        <v>4675</v>
      </c>
      <c r="I160" s="32">
        <v>0</v>
      </c>
      <c r="J160" s="33">
        <v>0</v>
      </c>
      <c r="K160" s="21"/>
      <c r="L160" s="34">
        <f t="shared" si="19"/>
        <v>0</v>
      </c>
      <c r="M160" s="34">
        <f>(2200*F160)+2870-H160</f>
        <v>395</v>
      </c>
      <c r="N160" s="34">
        <f>7000*F160-I160-J160-4000</f>
        <v>3000</v>
      </c>
      <c r="O160" s="35">
        <f t="shared" si="18"/>
        <v>3395</v>
      </c>
    </row>
    <row r="161" spans="1:15" ht="30" customHeight="1" x14ac:dyDescent="0.25">
      <c r="A161" s="24">
        <v>158</v>
      </c>
      <c r="B161" s="25" t="s">
        <v>327</v>
      </c>
      <c r="C161" s="26" t="s">
        <v>328</v>
      </c>
      <c r="D161" s="61">
        <v>0</v>
      </c>
      <c r="E161" s="28">
        <f t="shared" si="21"/>
        <v>24</v>
      </c>
      <c r="F161" s="29">
        <v>1</v>
      </c>
      <c r="G161" s="40">
        <v>7000</v>
      </c>
      <c r="H161" s="31"/>
      <c r="I161" s="32">
        <v>0</v>
      </c>
      <c r="J161" s="33">
        <v>0</v>
      </c>
      <c r="K161" s="21"/>
      <c r="L161" s="34">
        <f t="shared" si="19"/>
        <v>3055</v>
      </c>
      <c r="M161" s="34">
        <f>(2200*F161)+2870-H161-1000</f>
        <v>4070</v>
      </c>
      <c r="N161" s="34">
        <v>0</v>
      </c>
      <c r="O161" s="35">
        <f t="shared" si="18"/>
        <v>7125</v>
      </c>
    </row>
    <row r="162" spans="1:15" ht="30" customHeight="1" x14ac:dyDescent="0.25">
      <c r="A162" s="24">
        <v>159</v>
      </c>
      <c r="B162" s="25" t="s">
        <v>329</v>
      </c>
      <c r="C162" s="26" t="s">
        <v>330</v>
      </c>
      <c r="D162" s="59">
        <v>1</v>
      </c>
      <c r="E162" s="28">
        <f t="shared" si="21"/>
        <v>24</v>
      </c>
      <c r="F162" s="29">
        <v>1</v>
      </c>
      <c r="G162" s="40">
        <v>10055</v>
      </c>
      <c r="H162" s="31">
        <v>5070</v>
      </c>
      <c r="I162" s="32">
        <v>1805</v>
      </c>
      <c r="J162" s="33"/>
      <c r="K162" s="21"/>
      <c r="L162" s="34">
        <f t="shared" si="19"/>
        <v>0</v>
      </c>
      <c r="M162" s="34">
        <f>(2200*F162)+2870-H162</f>
        <v>0</v>
      </c>
      <c r="N162" s="34">
        <f t="shared" ref="N162:N170" si="23">7000*F162-I162-J162-4000</f>
        <v>1195</v>
      </c>
      <c r="O162" s="35">
        <f t="shared" si="18"/>
        <v>1195</v>
      </c>
    </row>
    <row r="163" spans="1:15" ht="30" customHeight="1" x14ac:dyDescent="0.25">
      <c r="A163" s="24">
        <v>160</v>
      </c>
      <c r="B163" s="25" t="s">
        <v>331</v>
      </c>
      <c r="C163" s="26" t="s">
        <v>332</v>
      </c>
      <c r="D163" s="62">
        <v>0</v>
      </c>
      <c r="E163" s="28">
        <f t="shared" si="21"/>
        <v>24</v>
      </c>
      <c r="F163" s="29">
        <v>1</v>
      </c>
      <c r="G163" s="40">
        <f>5000+70</f>
        <v>5070</v>
      </c>
      <c r="H163" s="31">
        <v>4070</v>
      </c>
      <c r="I163" s="46">
        <v>0</v>
      </c>
      <c r="J163" s="47">
        <v>0</v>
      </c>
      <c r="K163" s="21"/>
      <c r="L163" s="34">
        <f t="shared" si="19"/>
        <v>4985</v>
      </c>
      <c r="M163" s="34">
        <f t="shared" ref="M163:M172" si="24">(2200*F163)+2870-H163-1000</f>
        <v>0</v>
      </c>
      <c r="N163" s="34">
        <f t="shared" si="23"/>
        <v>3000</v>
      </c>
      <c r="O163" s="35">
        <f t="shared" si="18"/>
        <v>7985</v>
      </c>
    </row>
    <row r="164" spans="1:15" ht="30" customHeight="1" x14ac:dyDescent="0.25">
      <c r="A164" s="24">
        <v>161</v>
      </c>
      <c r="B164" s="25" t="s">
        <v>333</v>
      </c>
      <c r="C164" s="26" t="s">
        <v>334</v>
      </c>
      <c r="D164" s="62">
        <v>0</v>
      </c>
      <c r="E164" s="28">
        <f t="shared" si="21"/>
        <v>24</v>
      </c>
      <c r="F164" s="29">
        <v>1</v>
      </c>
      <c r="G164" s="40">
        <v>10055</v>
      </c>
      <c r="H164" s="31">
        <v>4070</v>
      </c>
      <c r="I164" s="46">
        <v>0</v>
      </c>
      <c r="J164" s="47">
        <v>0</v>
      </c>
      <c r="K164" s="21"/>
      <c r="L164" s="34">
        <f t="shared" si="19"/>
        <v>0</v>
      </c>
      <c r="M164" s="34">
        <f t="shared" si="24"/>
        <v>0</v>
      </c>
      <c r="N164" s="34">
        <f t="shared" si="23"/>
        <v>3000</v>
      </c>
      <c r="O164" s="35">
        <f t="shared" si="18"/>
        <v>3000</v>
      </c>
    </row>
    <row r="165" spans="1:15" ht="30" customHeight="1" x14ac:dyDescent="0.25">
      <c r="A165" s="24">
        <v>162</v>
      </c>
      <c r="B165" s="25" t="s">
        <v>335</v>
      </c>
      <c r="C165" s="26" t="s">
        <v>336</v>
      </c>
      <c r="D165" s="62">
        <v>0</v>
      </c>
      <c r="E165" s="28">
        <f t="shared" si="21"/>
        <v>24</v>
      </c>
      <c r="F165" s="29">
        <v>1</v>
      </c>
      <c r="G165" s="40"/>
      <c r="H165" s="31"/>
      <c r="I165" s="46">
        <v>0</v>
      </c>
      <c r="J165" s="47">
        <v>0</v>
      </c>
      <c r="K165" s="37">
        <v>1410</v>
      </c>
      <c r="L165" s="34">
        <f t="shared" si="19"/>
        <v>10055</v>
      </c>
      <c r="M165" s="34">
        <f t="shared" si="24"/>
        <v>4070</v>
      </c>
      <c r="N165" s="34">
        <f t="shared" si="23"/>
        <v>3000</v>
      </c>
      <c r="O165" s="35">
        <f t="shared" si="18"/>
        <v>18535</v>
      </c>
    </row>
    <row r="166" spans="1:15" ht="30" customHeight="1" x14ac:dyDescent="0.25">
      <c r="A166" s="24">
        <v>163</v>
      </c>
      <c r="B166" s="25" t="s">
        <v>337</v>
      </c>
      <c r="C166" s="26" t="s">
        <v>338</v>
      </c>
      <c r="D166" s="62">
        <v>0</v>
      </c>
      <c r="E166" s="28">
        <f t="shared" si="21"/>
        <v>24</v>
      </c>
      <c r="F166" s="29">
        <v>1</v>
      </c>
      <c r="G166" s="40">
        <v>10055</v>
      </c>
      <c r="H166" s="31">
        <v>4070</v>
      </c>
      <c r="I166" s="46">
        <v>0</v>
      </c>
      <c r="J166" s="47">
        <v>1000</v>
      </c>
      <c r="K166" s="21"/>
      <c r="L166" s="34">
        <f t="shared" si="19"/>
        <v>0</v>
      </c>
      <c r="M166" s="34">
        <f t="shared" si="24"/>
        <v>0</v>
      </c>
      <c r="N166" s="34">
        <f t="shared" si="23"/>
        <v>2000</v>
      </c>
      <c r="O166" s="35">
        <f t="shared" si="18"/>
        <v>2000</v>
      </c>
    </row>
    <row r="167" spans="1:15" ht="30" customHeight="1" x14ac:dyDescent="0.25">
      <c r="A167" s="24">
        <v>164</v>
      </c>
      <c r="B167" s="25" t="s">
        <v>339</v>
      </c>
      <c r="C167" s="26" t="s">
        <v>340</v>
      </c>
      <c r="D167" s="62">
        <v>0</v>
      </c>
      <c r="E167" s="28">
        <f t="shared" si="21"/>
        <v>24</v>
      </c>
      <c r="F167" s="29">
        <v>1</v>
      </c>
      <c r="G167" s="40"/>
      <c r="H167" s="31"/>
      <c r="I167" s="46">
        <v>0</v>
      </c>
      <c r="J167" s="47">
        <v>0</v>
      </c>
      <c r="K167" s="37">
        <v>3721</v>
      </c>
      <c r="L167" s="34">
        <f t="shared" si="19"/>
        <v>10055</v>
      </c>
      <c r="M167" s="34">
        <f t="shared" si="24"/>
        <v>4070</v>
      </c>
      <c r="N167" s="34">
        <f t="shared" si="23"/>
        <v>3000</v>
      </c>
      <c r="O167" s="35">
        <f t="shared" si="18"/>
        <v>20846</v>
      </c>
    </row>
    <row r="168" spans="1:15" ht="30" customHeight="1" x14ac:dyDescent="0.25">
      <c r="A168" s="24">
        <v>165</v>
      </c>
      <c r="B168" s="25" t="s">
        <v>341</v>
      </c>
      <c r="C168" s="26" t="s">
        <v>342</v>
      </c>
      <c r="D168" s="62">
        <v>0</v>
      </c>
      <c r="E168" s="28">
        <f t="shared" si="21"/>
        <v>24</v>
      </c>
      <c r="F168" s="29">
        <v>1</v>
      </c>
      <c r="G168" s="40"/>
      <c r="H168" s="31"/>
      <c r="I168" s="46">
        <v>0</v>
      </c>
      <c r="J168" s="47">
        <v>0</v>
      </c>
      <c r="K168" s="37">
        <f>24409-10000</f>
        <v>14409</v>
      </c>
      <c r="L168" s="34">
        <f t="shared" si="19"/>
        <v>10055</v>
      </c>
      <c r="M168" s="34">
        <f t="shared" si="24"/>
        <v>4070</v>
      </c>
      <c r="N168" s="34">
        <f t="shared" si="23"/>
        <v>3000</v>
      </c>
      <c r="O168" s="35">
        <f t="shared" si="18"/>
        <v>31534</v>
      </c>
    </row>
    <row r="169" spans="1:15" ht="30" customHeight="1" x14ac:dyDescent="0.25">
      <c r="A169" s="24">
        <v>166</v>
      </c>
      <c r="B169" s="25" t="s">
        <v>343</v>
      </c>
      <c r="C169" s="38" t="s">
        <v>344</v>
      </c>
      <c r="D169" s="62">
        <v>0</v>
      </c>
      <c r="E169" s="28">
        <f t="shared" si="21"/>
        <v>24</v>
      </c>
      <c r="F169" s="29">
        <v>1</v>
      </c>
      <c r="G169" s="40"/>
      <c r="H169" s="31"/>
      <c r="I169" s="46">
        <v>0</v>
      </c>
      <c r="J169" s="47">
        <v>0</v>
      </c>
      <c r="K169" s="21"/>
      <c r="L169" s="34">
        <f t="shared" si="19"/>
        <v>10055</v>
      </c>
      <c r="M169" s="34">
        <f t="shared" si="24"/>
        <v>4070</v>
      </c>
      <c r="N169" s="34">
        <f t="shared" si="23"/>
        <v>3000</v>
      </c>
      <c r="O169" s="35">
        <f t="shared" si="18"/>
        <v>17125</v>
      </c>
    </row>
    <row r="170" spans="1:15" ht="30" customHeight="1" x14ac:dyDescent="0.25">
      <c r="A170" s="24">
        <v>167</v>
      </c>
      <c r="B170" s="25" t="s">
        <v>345</v>
      </c>
      <c r="C170" s="26" t="s">
        <v>346</v>
      </c>
      <c r="D170" s="59">
        <v>1</v>
      </c>
      <c r="E170" s="28">
        <f t="shared" si="21"/>
        <v>24</v>
      </c>
      <c r="F170" s="29">
        <v>1</v>
      </c>
      <c r="G170" s="40">
        <v>10055</v>
      </c>
      <c r="H170" s="31"/>
      <c r="I170" s="32"/>
      <c r="J170" s="33"/>
      <c r="K170" s="21"/>
      <c r="L170" s="34">
        <f t="shared" si="19"/>
        <v>0</v>
      </c>
      <c r="M170" s="34">
        <f t="shared" si="24"/>
        <v>4070</v>
      </c>
      <c r="N170" s="34">
        <f t="shared" si="23"/>
        <v>3000</v>
      </c>
      <c r="O170" s="35">
        <f t="shared" si="18"/>
        <v>7070</v>
      </c>
    </row>
    <row r="171" spans="1:15" ht="30" customHeight="1" x14ac:dyDescent="0.25">
      <c r="A171" s="24">
        <v>168</v>
      </c>
      <c r="B171" s="25" t="s">
        <v>347</v>
      </c>
      <c r="C171" s="26" t="s">
        <v>348</v>
      </c>
      <c r="D171" s="62">
        <v>0</v>
      </c>
      <c r="E171" s="28">
        <f t="shared" si="21"/>
        <v>24</v>
      </c>
      <c r="F171" s="29">
        <v>1</v>
      </c>
      <c r="G171" s="40">
        <v>10055</v>
      </c>
      <c r="H171" s="31">
        <v>4070</v>
      </c>
      <c r="I171" s="32">
        <v>0</v>
      </c>
      <c r="J171" s="33">
        <v>0</v>
      </c>
      <c r="K171" s="21"/>
      <c r="L171" s="34">
        <f t="shared" si="19"/>
        <v>0</v>
      </c>
      <c r="M171" s="34">
        <f t="shared" si="24"/>
        <v>0</v>
      </c>
      <c r="N171" s="34">
        <f>7000*F171-I171-J171-4800</f>
        <v>2200</v>
      </c>
      <c r="O171" s="35">
        <f t="shared" si="18"/>
        <v>2200</v>
      </c>
    </row>
    <row r="172" spans="1:15" ht="30" customHeight="1" x14ac:dyDescent="0.25">
      <c r="A172" s="24">
        <v>169</v>
      </c>
      <c r="B172" s="25" t="s">
        <v>349</v>
      </c>
      <c r="C172" s="48" t="s">
        <v>350</v>
      </c>
      <c r="D172" s="59">
        <v>1</v>
      </c>
      <c r="E172" s="50">
        <f t="shared" si="21"/>
        <v>24</v>
      </c>
      <c r="F172" s="51">
        <v>1</v>
      </c>
      <c r="G172" s="52">
        <f>6800+2500+755</f>
        <v>10055</v>
      </c>
      <c r="H172" s="53">
        <v>4070</v>
      </c>
      <c r="I172" s="19">
        <v>1300</v>
      </c>
      <c r="J172" s="54">
        <v>0</v>
      </c>
      <c r="K172" s="21"/>
      <c r="L172" s="34">
        <f t="shared" si="19"/>
        <v>0</v>
      </c>
      <c r="M172" s="34">
        <f t="shared" si="24"/>
        <v>0</v>
      </c>
      <c r="N172" s="34">
        <f>7000*F172-I172-J172-4800</f>
        <v>900</v>
      </c>
      <c r="O172" s="35">
        <f t="shared" si="18"/>
        <v>900</v>
      </c>
    </row>
    <row r="173" spans="1:15" ht="30" customHeight="1" x14ac:dyDescent="0.25">
      <c r="A173" s="24">
        <v>170</v>
      </c>
      <c r="B173" s="25" t="s">
        <v>351</v>
      </c>
      <c r="C173" s="26" t="s">
        <v>352</v>
      </c>
      <c r="D173" s="63">
        <v>1</v>
      </c>
      <c r="E173" s="28">
        <f t="shared" si="21"/>
        <v>24</v>
      </c>
      <c r="F173" s="29">
        <v>1</v>
      </c>
      <c r="G173" s="40"/>
      <c r="H173" s="31"/>
      <c r="I173" s="32"/>
      <c r="J173" s="33"/>
      <c r="K173" s="37">
        <v>830</v>
      </c>
      <c r="L173" s="34">
        <f t="shared" si="19"/>
        <v>10055</v>
      </c>
      <c r="M173" s="34">
        <f>(2200*F173)+2870-H173</f>
        <v>5070</v>
      </c>
      <c r="N173" s="34">
        <f>7000*F173-I173-J173</f>
        <v>7000</v>
      </c>
      <c r="O173" s="35">
        <f t="shared" si="18"/>
        <v>22955</v>
      </c>
    </row>
    <row r="174" spans="1:15" ht="30" customHeight="1" x14ac:dyDescent="0.25">
      <c r="A174" s="24">
        <v>171</v>
      </c>
      <c r="B174" s="25" t="s">
        <v>353</v>
      </c>
      <c r="C174" s="26" t="s">
        <v>354</v>
      </c>
      <c r="D174" s="63">
        <v>1</v>
      </c>
      <c r="E174" s="28">
        <f t="shared" si="21"/>
        <v>24</v>
      </c>
      <c r="F174" s="29">
        <v>1</v>
      </c>
      <c r="G174" s="40"/>
      <c r="H174" s="31"/>
      <c r="I174" s="32"/>
      <c r="J174" s="33"/>
      <c r="K174" s="37">
        <v>9539</v>
      </c>
      <c r="L174" s="34">
        <f t="shared" si="19"/>
        <v>10055</v>
      </c>
      <c r="M174" s="34">
        <f>(2200*F174)+2870-H174</f>
        <v>5070</v>
      </c>
      <c r="N174" s="34">
        <f>7000*F174-I174-J174</f>
        <v>7000</v>
      </c>
      <c r="O174" s="35">
        <f t="shared" si="18"/>
        <v>31664</v>
      </c>
    </row>
    <row r="175" spans="1:15" ht="30" customHeight="1" x14ac:dyDescent="0.25">
      <c r="A175" s="24">
        <v>172</v>
      </c>
      <c r="B175" s="25" t="s">
        <v>355</v>
      </c>
      <c r="C175" s="41" t="s">
        <v>356</v>
      </c>
      <c r="D175" s="64">
        <v>0</v>
      </c>
      <c r="E175" s="43">
        <v>48</v>
      </c>
      <c r="F175" s="44">
        <v>2</v>
      </c>
      <c r="G175" s="40">
        <v>4800</v>
      </c>
      <c r="H175" s="45"/>
      <c r="I175" s="46">
        <v>0</v>
      </c>
      <c r="J175" s="47">
        <v>0</v>
      </c>
      <c r="K175" s="21"/>
      <c r="L175" s="34">
        <f t="shared" si="19"/>
        <v>7455</v>
      </c>
      <c r="M175" s="34">
        <f t="shared" ref="M175:M182" si="25">(2200*F175)+2870-H175-1000</f>
        <v>6270</v>
      </c>
      <c r="N175" s="34">
        <v>0</v>
      </c>
      <c r="O175" s="35">
        <f t="shared" si="18"/>
        <v>13725</v>
      </c>
    </row>
    <row r="176" spans="1:15" ht="30" customHeight="1" x14ac:dyDescent="0.25">
      <c r="A176" s="24">
        <v>173</v>
      </c>
      <c r="B176" s="25" t="s">
        <v>357</v>
      </c>
      <c r="C176" s="26" t="s">
        <v>358</v>
      </c>
      <c r="D176" s="61">
        <v>0</v>
      </c>
      <c r="E176" s="28">
        <f t="shared" ref="E176:E187" si="26">$E$1*F176</f>
        <v>24</v>
      </c>
      <c r="F176" s="29">
        <v>1</v>
      </c>
      <c r="G176" s="40">
        <v>6950</v>
      </c>
      <c r="H176" s="31">
        <v>4070</v>
      </c>
      <c r="I176" s="32">
        <v>0</v>
      </c>
      <c r="J176" s="33">
        <v>0</v>
      </c>
      <c r="K176" s="21"/>
      <c r="L176" s="34">
        <f t="shared" si="19"/>
        <v>3105</v>
      </c>
      <c r="M176" s="34">
        <f t="shared" si="25"/>
        <v>0</v>
      </c>
      <c r="N176" s="34">
        <v>0</v>
      </c>
      <c r="O176" s="35">
        <f t="shared" si="18"/>
        <v>3105</v>
      </c>
    </row>
    <row r="177" spans="1:15" ht="30" customHeight="1" x14ac:dyDescent="0.25">
      <c r="A177" s="24">
        <v>174</v>
      </c>
      <c r="B177" s="25" t="s">
        <v>359</v>
      </c>
      <c r="C177" s="26" t="s">
        <v>360</v>
      </c>
      <c r="D177" s="61">
        <v>0</v>
      </c>
      <c r="E177" s="28">
        <f t="shared" si="26"/>
        <v>24</v>
      </c>
      <c r="F177" s="29">
        <v>1</v>
      </c>
      <c r="G177" s="40">
        <v>7000</v>
      </c>
      <c r="H177" s="31"/>
      <c r="I177" s="32">
        <v>0</v>
      </c>
      <c r="J177" s="33">
        <v>0</v>
      </c>
      <c r="K177" s="21"/>
      <c r="L177" s="34">
        <f t="shared" si="19"/>
        <v>3055</v>
      </c>
      <c r="M177" s="34">
        <f t="shared" si="25"/>
        <v>4070</v>
      </c>
      <c r="N177" s="34">
        <v>0</v>
      </c>
      <c r="O177" s="35">
        <f t="shared" si="18"/>
        <v>7125</v>
      </c>
    </row>
    <row r="178" spans="1:15" ht="30" customHeight="1" x14ac:dyDescent="0.25">
      <c r="A178" s="24">
        <v>175</v>
      </c>
      <c r="B178" s="25" t="s">
        <v>361</v>
      </c>
      <c r="C178" s="26" t="s">
        <v>362</v>
      </c>
      <c r="D178" s="61">
        <v>0</v>
      </c>
      <c r="E178" s="28">
        <f t="shared" si="26"/>
        <v>24</v>
      </c>
      <c r="F178" s="29">
        <v>1</v>
      </c>
      <c r="G178" s="40">
        <f>5000+5055</f>
        <v>10055</v>
      </c>
      <c r="H178" s="31"/>
      <c r="I178" s="32">
        <v>0</v>
      </c>
      <c r="J178" s="33">
        <v>0</v>
      </c>
      <c r="K178" s="21"/>
      <c r="L178" s="34">
        <f t="shared" si="19"/>
        <v>0</v>
      </c>
      <c r="M178" s="34">
        <f t="shared" si="25"/>
        <v>4070</v>
      </c>
      <c r="N178" s="34">
        <v>0</v>
      </c>
      <c r="O178" s="35">
        <f t="shared" si="18"/>
        <v>4070</v>
      </c>
    </row>
    <row r="179" spans="1:15" ht="30" customHeight="1" x14ac:dyDescent="0.25">
      <c r="A179" s="24">
        <v>176</v>
      </c>
      <c r="B179" s="25" t="s">
        <v>363</v>
      </c>
      <c r="C179" s="26" t="s">
        <v>364</v>
      </c>
      <c r="D179" s="61">
        <v>0</v>
      </c>
      <c r="E179" s="28">
        <f t="shared" si="26"/>
        <v>24</v>
      </c>
      <c r="F179" s="29">
        <v>1</v>
      </c>
      <c r="G179" s="40"/>
      <c r="H179" s="31"/>
      <c r="I179" s="32">
        <v>0</v>
      </c>
      <c r="J179" s="33">
        <v>0</v>
      </c>
      <c r="K179" s="21"/>
      <c r="L179" s="34">
        <f t="shared" si="19"/>
        <v>10055</v>
      </c>
      <c r="M179" s="34">
        <f t="shared" si="25"/>
        <v>4070</v>
      </c>
      <c r="N179" s="34">
        <v>0</v>
      </c>
      <c r="O179" s="35">
        <f t="shared" si="18"/>
        <v>14125</v>
      </c>
    </row>
    <row r="180" spans="1:15" ht="30" customHeight="1" x14ac:dyDescent="0.25">
      <c r="A180" s="24">
        <v>177</v>
      </c>
      <c r="B180" s="25" t="s">
        <v>365</v>
      </c>
      <c r="C180" s="26" t="s">
        <v>366</v>
      </c>
      <c r="D180" s="61">
        <v>0</v>
      </c>
      <c r="E180" s="28">
        <f t="shared" si="26"/>
        <v>24</v>
      </c>
      <c r="F180" s="29">
        <v>1</v>
      </c>
      <c r="G180" s="40"/>
      <c r="H180" s="31"/>
      <c r="I180" s="32">
        <v>0</v>
      </c>
      <c r="J180" s="33">
        <v>0</v>
      </c>
      <c r="K180" s="37">
        <v>24173</v>
      </c>
      <c r="L180" s="34">
        <f t="shared" si="19"/>
        <v>10055</v>
      </c>
      <c r="M180" s="34">
        <f t="shared" si="25"/>
        <v>4070</v>
      </c>
      <c r="N180" s="34">
        <v>0</v>
      </c>
      <c r="O180" s="35">
        <f t="shared" si="18"/>
        <v>38298</v>
      </c>
    </row>
    <row r="181" spans="1:15" ht="30" customHeight="1" x14ac:dyDescent="0.25">
      <c r="A181" s="24">
        <v>178</v>
      </c>
      <c r="B181" s="25" t="s">
        <v>367</v>
      </c>
      <c r="C181" s="26" t="s">
        <v>368</v>
      </c>
      <c r="D181" s="61">
        <v>0</v>
      </c>
      <c r="E181" s="28">
        <f t="shared" si="26"/>
        <v>24</v>
      </c>
      <c r="F181" s="29">
        <v>1</v>
      </c>
      <c r="G181" s="40"/>
      <c r="H181" s="31"/>
      <c r="I181" s="32">
        <v>0</v>
      </c>
      <c r="J181" s="33">
        <v>0</v>
      </c>
      <c r="K181" s="37">
        <v>5950</v>
      </c>
      <c r="L181" s="34">
        <f t="shared" si="19"/>
        <v>10055</v>
      </c>
      <c r="M181" s="34">
        <f t="shared" si="25"/>
        <v>4070</v>
      </c>
      <c r="N181" s="34">
        <v>0</v>
      </c>
      <c r="O181" s="35">
        <f t="shared" si="18"/>
        <v>20075</v>
      </c>
    </row>
    <row r="182" spans="1:15" ht="30" customHeight="1" x14ac:dyDescent="0.25">
      <c r="A182" s="24">
        <v>179</v>
      </c>
      <c r="B182" s="25" t="s">
        <v>369</v>
      </c>
      <c r="C182" s="38" t="s">
        <v>370</v>
      </c>
      <c r="D182" s="61">
        <v>0</v>
      </c>
      <c r="E182" s="28">
        <f t="shared" si="26"/>
        <v>24</v>
      </c>
      <c r="F182" s="29">
        <v>1</v>
      </c>
      <c r="G182" s="40">
        <v>6540</v>
      </c>
      <c r="H182" s="31"/>
      <c r="I182" s="32">
        <v>0</v>
      </c>
      <c r="J182" s="33">
        <v>0</v>
      </c>
      <c r="K182" s="21"/>
      <c r="L182" s="34">
        <f t="shared" si="19"/>
        <v>3515</v>
      </c>
      <c r="M182" s="34">
        <f t="shared" si="25"/>
        <v>4070</v>
      </c>
      <c r="N182" s="34">
        <v>0</v>
      </c>
      <c r="O182" s="35">
        <f t="shared" si="18"/>
        <v>7585</v>
      </c>
    </row>
    <row r="183" spans="1:15" ht="30" customHeight="1" x14ac:dyDescent="0.25">
      <c r="A183" s="24">
        <v>180</v>
      </c>
      <c r="B183" s="25" t="s">
        <v>371</v>
      </c>
      <c r="C183" s="26" t="s">
        <v>372</v>
      </c>
      <c r="D183" s="59">
        <v>1</v>
      </c>
      <c r="E183" s="28">
        <f t="shared" si="26"/>
        <v>24</v>
      </c>
      <c r="F183" s="29">
        <v>1</v>
      </c>
      <c r="G183" s="40"/>
      <c r="H183" s="31"/>
      <c r="I183" s="32"/>
      <c r="J183" s="33"/>
      <c r="K183" s="37">
        <v>28691</v>
      </c>
      <c r="L183" s="34">
        <f t="shared" si="19"/>
        <v>10055</v>
      </c>
      <c r="M183" s="34">
        <f>(2200*F183)+2870-H183</f>
        <v>5070</v>
      </c>
      <c r="N183" s="34">
        <f t="shared" ref="N183:N201" si="27">7000*F183-I183-J183</f>
        <v>7000</v>
      </c>
      <c r="O183" s="35">
        <f t="shared" si="18"/>
        <v>50816</v>
      </c>
    </row>
    <row r="184" spans="1:15" ht="30" customHeight="1" x14ac:dyDescent="0.25">
      <c r="A184" s="24">
        <v>181</v>
      </c>
      <c r="B184" s="25" t="s">
        <v>373</v>
      </c>
      <c r="C184" s="38" t="s">
        <v>374</v>
      </c>
      <c r="D184" s="55">
        <v>1</v>
      </c>
      <c r="E184" s="28">
        <f t="shared" si="26"/>
        <v>24</v>
      </c>
      <c r="F184" s="29">
        <v>1</v>
      </c>
      <c r="G184" s="65">
        <v>10055</v>
      </c>
      <c r="H184" s="66">
        <v>3000</v>
      </c>
      <c r="I184" s="15">
        <v>7000</v>
      </c>
      <c r="J184" s="33"/>
      <c r="K184" s="21"/>
      <c r="L184" s="34">
        <f>(2200*F184)+7855-G184</f>
        <v>0</v>
      </c>
      <c r="M184" s="34">
        <f>(2200*F184)+2870-H184</f>
        <v>2070</v>
      </c>
      <c r="N184" s="34">
        <f t="shared" si="27"/>
        <v>0</v>
      </c>
      <c r="O184" s="35">
        <f t="shared" si="18"/>
        <v>2070</v>
      </c>
    </row>
    <row r="185" spans="1:15" ht="30" customHeight="1" x14ac:dyDescent="0.25">
      <c r="A185" s="24">
        <v>182</v>
      </c>
      <c r="B185" s="25" t="s">
        <v>375</v>
      </c>
      <c r="C185" s="48" t="s">
        <v>376</v>
      </c>
      <c r="D185" s="56">
        <v>1</v>
      </c>
      <c r="E185" s="50">
        <f t="shared" si="26"/>
        <v>24</v>
      </c>
      <c r="F185" s="51">
        <v>1</v>
      </c>
      <c r="G185" s="65">
        <v>6000</v>
      </c>
      <c r="H185" s="66"/>
      <c r="I185" s="15"/>
      <c r="J185" s="33"/>
      <c r="K185" s="21"/>
      <c r="L185" s="34">
        <f>(2200*F185)+7855-G185</f>
        <v>4055</v>
      </c>
      <c r="M185" s="34">
        <f>(2200*F185)+2870-H185-1000</f>
        <v>4070</v>
      </c>
      <c r="N185" s="34">
        <f t="shared" si="27"/>
        <v>7000</v>
      </c>
      <c r="O185" s="35">
        <f t="shared" si="18"/>
        <v>15125</v>
      </c>
    </row>
    <row r="186" spans="1:15" ht="30" customHeight="1" x14ac:dyDescent="0.25">
      <c r="A186" s="24">
        <v>183</v>
      </c>
      <c r="B186" s="25" t="s">
        <v>377</v>
      </c>
      <c r="C186" s="26" t="s">
        <v>378</v>
      </c>
      <c r="D186" s="59">
        <v>1</v>
      </c>
      <c r="E186" s="28">
        <f t="shared" si="26"/>
        <v>24</v>
      </c>
      <c r="F186" s="29">
        <v>1</v>
      </c>
      <c r="G186" s="65"/>
      <c r="H186" s="66"/>
      <c r="I186" s="15"/>
      <c r="J186" s="33"/>
      <c r="K186" s="37">
        <v>1030</v>
      </c>
      <c r="L186" s="34">
        <f>(2200*F186)+7855-G186</f>
        <v>10055</v>
      </c>
      <c r="M186" s="34">
        <f>(2200*F186)+2870-H186</f>
        <v>5070</v>
      </c>
      <c r="N186" s="34">
        <f t="shared" si="27"/>
        <v>7000</v>
      </c>
      <c r="O186" s="35">
        <f t="shared" si="18"/>
        <v>23155</v>
      </c>
    </row>
    <row r="187" spans="1:15" ht="30" customHeight="1" x14ac:dyDescent="0.25">
      <c r="A187" s="24">
        <v>184</v>
      </c>
      <c r="B187" s="25" t="s">
        <v>379</v>
      </c>
      <c r="C187" s="26" t="s">
        <v>380</v>
      </c>
      <c r="D187" s="59">
        <v>1</v>
      </c>
      <c r="E187" s="28">
        <f t="shared" si="26"/>
        <v>28.08</v>
      </c>
      <c r="F187" s="29">
        <v>1.17</v>
      </c>
      <c r="G187" s="40">
        <v>10424</v>
      </c>
      <c r="H187" s="31">
        <v>3000</v>
      </c>
      <c r="I187" s="32">
        <v>7000</v>
      </c>
      <c r="J187" s="33"/>
      <c r="K187" s="21"/>
      <c r="L187" s="34">
        <f>(2200*F187)+7855-G187</f>
        <v>5</v>
      </c>
      <c r="M187" s="34">
        <f>(2200*F187)+2870-H187</f>
        <v>2444</v>
      </c>
      <c r="N187" s="34">
        <f t="shared" si="27"/>
        <v>1189.9999999999991</v>
      </c>
      <c r="O187" s="35">
        <f t="shared" si="18"/>
        <v>3638.9999999999991</v>
      </c>
    </row>
    <row r="188" spans="1:15" s="72" customFormat="1" ht="30" customHeight="1" x14ac:dyDescent="0.25">
      <c r="A188" s="24">
        <v>185</v>
      </c>
      <c r="B188" s="25" t="s">
        <v>381</v>
      </c>
      <c r="C188" s="48" t="s">
        <v>382</v>
      </c>
      <c r="D188" s="61">
        <v>1</v>
      </c>
      <c r="E188" s="28">
        <v>24</v>
      </c>
      <c r="F188" s="29">
        <v>1</v>
      </c>
      <c r="G188" s="67">
        <v>8185</v>
      </c>
      <c r="H188" s="68"/>
      <c r="I188" s="69">
        <v>7000</v>
      </c>
      <c r="J188" s="70"/>
      <c r="K188" s="71"/>
      <c r="L188" s="34">
        <f>(2200*F188)+7855-G188-1870</f>
        <v>0</v>
      </c>
      <c r="M188" s="34">
        <f>(2200*F188)+2870-H188-1870</f>
        <v>3200</v>
      </c>
      <c r="N188" s="34">
        <f t="shared" si="27"/>
        <v>0</v>
      </c>
      <c r="O188" s="35">
        <f t="shared" si="18"/>
        <v>3200</v>
      </c>
    </row>
    <row r="189" spans="1:15" ht="30" customHeight="1" x14ac:dyDescent="0.25">
      <c r="A189" s="24">
        <v>186</v>
      </c>
      <c r="B189" s="25" t="s">
        <v>383</v>
      </c>
      <c r="C189" s="26" t="s">
        <v>384</v>
      </c>
      <c r="D189" s="59">
        <v>1</v>
      </c>
      <c r="E189" s="28">
        <f t="shared" ref="E189:E197" si="28">$E$1*F189</f>
        <v>24</v>
      </c>
      <c r="F189" s="29">
        <v>1</v>
      </c>
      <c r="G189" s="40">
        <v>10055</v>
      </c>
      <c r="H189" s="31">
        <v>1000</v>
      </c>
      <c r="I189" s="32">
        <f>3000+2000+2000</f>
        <v>7000</v>
      </c>
      <c r="J189" s="33"/>
      <c r="K189" s="21"/>
      <c r="L189" s="34">
        <f t="shared" ref="L189:L246" si="29">(2200*F189)+7855-G189</f>
        <v>0</v>
      </c>
      <c r="M189" s="34">
        <f t="shared" ref="M189:M246" si="30">(2200*F189)+2870-H189</f>
        <v>4070</v>
      </c>
      <c r="N189" s="34">
        <f t="shared" si="27"/>
        <v>0</v>
      </c>
      <c r="O189" s="35">
        <f t="shared" si="18"/>
        <v>4070</v>
      </c>
    </row>
    <row r="190" spans="1:15" ht="30" customHeight="1" x14ac:dyDescent="0.25">
      <c r="A190" s="24">
        <v>187</v>
      </c>
      <c r="B190" s="25" t="s">
        <v>385</v>
      </c>
      <c r="C190" s="26" t="s">
        <v>386</v>
      </c>
      <c r="D190" s="59">
        <v>1</v>
      </c>
      <c r="E190" s="28">
        <f t="shared" si="28"/>
        <v>24</v>
      </c>
      <c r="F190" s="29">
        <v>1</v>
      </c>
      <c r="G190" s="40"/>
      <c r="H190" s="31"/>
      <c r="I190" s="32"/>
      <c r="J190" s="33"/>
      <c r="K190" s="37">
        <v>42064</v>
      </c>
      <c r="L190" s="34">
        <f t="shared" si="29"/>
        <v>10055</v>
      </c>
      <c r="M190" s="34">
        <f t="shared" si="30"/>
        <v>5070</v>
      </c>
      <c r="N190" s="34">
        <f t="shared" si="27"/>
        <v>7000</v>
      </c>
      <c r="O190" s="35">
        <f t="shared" si="18"/>
        <v>64189</v>
      </c>
    </row>
    <row r="191" spans="1:15" ht="30" customHeight="1" x14ac:dyDescent="0.25">
      <c r="A191" s="24">
        <v>188</v>
      </c>
      <c r="B191" s="25" t="s">
        <v>387</v>
      </c>
      <c r="C191" s="26" t="s">
        <v>388</v>
      </c>
      <c r="D191" s="59">
        <v>1</v>
      </c>
      <c r="E191" s="28">
        <f t="shared" si="28"/>
        <v>24</v>
      </c>
      <c r="F191" s="29">
        <v>1</v>
      </c>
      <c r="G191" s="40">
        <v>10055</v>
      </c>
      <c r="H191" s="31">
        <v>3000</v>
      </c>
      <c r="I191" s="32">
        <v>7000</v>
      </c>
      <c r="J191" s="33"/>
      <c r="K191" s="21"/>
      <c r="L191" s="34">
        <f t="shared" si="29"/>
        <v>0</v>
      </c>
      <c r="M191" s="34">
        <f t="shared" si="30"/>
        <v>2070</v>
      </c>
      <c r="N191" s="34">
        <f t="shared" si="27"/>
        <v>0</v>
      </c>
      <c r="O191" s="35">
        <f t="shared" si="18"/>
        <v>2070</v>
      </c>
    </row>
    <row r="192" spans="1:15" ht="30" customHeight="1" x14ac:dyDescent="0.25">
      <c r="A192" s="24">
        <v>189</v>
      </c>
      <c r="B192" s="25" t="s">
        <v>389</v>
      </c>
      <c r="C192" s="26" t="s">
        <v>390</v>
      </c>
      <c r="D192" s="59">
        <v>1</v>
      </c>
      <c r="E192" s="28">
        <f t="shared" si="28"/>
        <v>24</v>
      </c>
      <c r="F192" s="29">
        <v>1</v>
      </c>
      <c r="G192" s="40">
        <v>10055</v>
      </c>
      <c r="H192" s="31"/>
      <c r="I192" s="32">
        <v>7000</v>
      </c>
      <c r="J192" s="33"/>
      <c r="K192" s="21"/>
      <c r="L192" s="34">
        <f t="shared" si="29"/>
        <v>0</v>
      </c>
      <c r="M192" s="34">
        <f t="shared" si="30"/>
        <v>5070</v>
      </c>
      <c r="N192" s="34">
        <f t="shared" si="27"/>
        <v>0</v>
      </c>
      <c r="O192" s="35">
        <f t="shared" si="18"/>
        <v>5070</v>
      </c>
    </row>
    <row r="193" spans="1:15" ht="30" customHeight="1" x14ac:dyDescent="0.25">
      <c r="A193" s="24">
        <v>190</v>
      </c>
      <c r="B193" s="25" t="s">
        <v>391</v>
      </c>
      <c r="C193" s="26" t="s">
        <v>392</v>
      </c>
      <c r="D193" s="59">
        <v>1</v>
      </c>
      <c r="E193" s="28">
        <f t="shared" si="28"/>
        <v>24</v>
      </c>
      <c r="F193" s="29">
        <v>1</v>
      </c>
      <c r="G193" s="40">
        <f>1086+2000+2000+2000</f>
        <v>7086</v>
      </c>
      <c r="H193" s="31"/>
      <c r="I193" s="32"/>
      <c r="J193" s="33"/>
      <c r="K193" s="21"/>
      <c r="L193" s="34">
        <f t="shared" si="29"/>
        <v>2969</v>
      </c>
      <c r="M193" s="34">
        <f t="shared" si="30"/>
        <v>5070</v>
      </c>
      <c r="N193" s="34">
        <f t="shared" si="27"/>
        <v>7000</v>
      </c>
      <c r="O193" s="35">
        <f t="shared" ref="O193:O233" si="31">SUM(K193:N193)</f>
        <v>15039</v>
      </c>
    </row>
    <row r="194" spans="1:15" ht="30" customHeight="1" x14ac:dyDescent="0.25">
      <c r="A194" s="24">
        <v>191</v>
      </c>
      <c r="B194" s="25" t="s">
        <v>393</v>
      </c>
      <c r="C194" s="26" t="s">
        <v>394</v>
      </c>
      <c r="D194" s="59">
        <v>1</v>
      </c>
      <c r="E194" s="28">
        <f t="shared" si="28"/>
        <v>24</v>
      </c>
      <c r="F194" s="29">
        <v>1</v>
      </c>
      <c r="G194" s="40"/>
      <c r="H194" s="31"/>
      <c r="I194" s="32"/>
      <c r="J194" s="33"/>
      <c r="K194" s="21"/>
      <c r="L194" s="34">
        <f t="shared" si="29"/>
        <v>10055</v>
      </c>
      <c r="M194" s="34">
        <f t="shared" si="30"/>
        <v>5070</v>
      </c>
      <c r="N194" s="34">
        <f t="shared" si="27"/>
        <v>7000</v>
      </c>
      <c r="O194" s="35">
        <f t="shared" si="31"/>
        <v>22125</v>
      </c>
    </row>
    <row r="195" spans="1:15" ht="30" customHeight="1" x14ac:dyDescent="0.25">
      <c r="A195" s="24">
        <v>192</v>
      </c>
      <c r="B195" s="25" t="s">
        <v>395</v>
      </c>
      <c r="C195" s="26" t="s">
        <v>396</v>
      </c>
      <c r="D195" s="59">
        <v>1</v>
      </c>
      <c r="E195" s="28">
        <f t="shared" si="28"/>
        <v>24</v>
      </c>
      <c r="F195" s="29">
        <v>1</v>
      </c>
      <c r="G195" s="40"/>
      <c r="H195" s="31"/>
      <c r="I195" s="32"/>
      <c r="J195" s="33"/>
      <c r="K195" s="37">
        <v>79043</v>
      </c>
      <c r="L195" s="34">
        <f t="shared" si="29"/>
        <v>10055</v>
      </c>
      <c r="M195" s="34">
        <f t="shared" si="30"/>
        <v>5070</v>
      </c>
      <c r="N195" s="34">
        <f t="shared" si="27"/>
        <v>7000</v>
      </c>
      <c r="O195" s="35">
        <f t="shared" si="31"/>
        <v>101168</v>
      </c>
    </row>
    <row r="196" spans="1:15" ht="30" customHeight="1" x14ac:dyDescent="0.25">
      <c r="A196" s="24">
        <v>193</v>
      </c>
      <c r="B196" s="25" t="s">
        <v>397</v>
      </c>
      <c r="C196" s="26" t="s">
        <v>398</v>
      </c>
      <c r="D196" s="59">
        <v>1</v>
      </c>
      <c r="E196" s="28">
        <f t="shared" si="28"/>
        <v>24</v>
      </c>
      <c r="F196" s="29">
        <v>1</v>
      </c>
      <c r="G196" s="40">
        <v>4800</v>
      </c>
      <c r="H196" s="31"/>
      <c r="I196" s="32"/>
      <c r="J196" s="33"/>
      <c r="K196" s="21"/>
      <c r="L196" s="34">
        <f t="shared" si="29"/>
        <v>5255</v>
      </c>
      <c r="M196" s="34">
        <f t="shared" si="30"/>
        <v>5070</v>
      </c>
      <c r="N196" s="34">
        <f t="shared" si="27"/>
        <v>7000</v>
      </c>
      <c r="O196" s="35">
        <f t="shared" si="31"/>
        <v>17325</v>
      </c>
    </row>
    <row r="197" spans="1:15" ht="30" customHeight="1" x14ac:dyDescent="0.25">
      <c r="A197" s="24">
        <v>194</v>
      </c>
      <c r="B197" s="25" t="s">
        <v>399</v>
      </c>
      <c r="C197" s="26" t="s">
        <v>400</v>
      </c>
      <c r="D197" s="59">
        <v>1</v>
      </c>
      <c r="E197" s="28">
        <f t="shared" si="28"/>
        <v>24</v>
      </c>
      <c r="F197" s="29">
        <v>1</v>
      </c>
      <c r="G197" s="40">
        <f>7300+2755</f>
        <v>10055</v>
      </c>
      <c r="H197" s="31"/>
      <c r="I197" s="32"/>
      <c r="J197" s="33"/>
      <c r="K197" s="21"/>
      <c r="L197" s="34">
        <f t="shared" si="29"/>
        <v>0</v>
      </c>
      <c r="M197" s="34">
        <f t="shared" si="30"/>
        <v>5070</v>
      </c>
      <c r="N197" s="34">
        <f t="shared" si="27"/>
        <v>7000</v>
      </c>
      <c r="O197" s="35">
        <f t="shared" si="31"/>
        <v>12070</v>
      </c>
    </row>
    <row r="198" spans="1:15" ht="30" customHeight="1" x14ac:dyDescent="0.25">
      <c r="A198" s="24">
        <v>195</v>
      </c>
      <c r="B198" s="25" t="s">
        <v>401</v>
      </c>
      <c r="C198" s="26" t="s">
        <v>402</v>
      </c>
      <c r="D198" s="59">
        <v>1</v>
      </c>
      <c r="E198" s="28">
        <f>$E$1*F198</f>
        <v>24</v>
      </c>
      <c r="F198" s="29">
        <v>1</v>
      </c>
      <c r="G198" s="40">
        <v>10055</v>
      </c>
      <c r="H198" s="31">
        <f>2000+1000+1000</f>
        <v>4000</v>
      </c>
      <c r="I198" s="32">
        <f>4000+3000</f>
        <v>7000</v>
      </c>
      <c r="J198" s="33"/>
      <c r="K198" s="21"/>
      <c r="L198" s="34">
        <f t="shared" si="29"/>
        <v>0</v>
      </c>
      <c r="M198" s="34">
        <f t="shared" si="30"/>
        <v>1070</v>
      </c>
      <c r="N198" s="34">
        <f t="shared" si="27"/>
        <v>0</v>
      </c>
      <c r="O198" s="35">
        <f t="shared" si="31"/>
        <v>1070</v>
      </c>
    </row>
    <row r="199" spans="1:15" ht="30" customHeight="1" x14ac:dyDescent="0.25">
      <c r="A199" s="24">
        <v>196</v>
      </c>
      <c r="B199" s="25" t="s">
        <v>403</v>
      </c>
      <c r="C199" s="26" t="s">
        <v>404</v>
      </c>
      <c r="D199" s="59">
        <v>1</v>
      </c>
      <c r="E199" s="28">
        <f>$E$1*F199</f>
        <v>24</v>
      </c>
      <c r="F199" s="29">
        <v>1</v>
      </c>
      <c r="G199" s="40">
        <v>10055</v>
      </c>
      <c r="H199" s="31">
        <v>3000</v>
      </c>
      <c r="I199" s="32">
        <f>3000+4000</f>
        <v>7000</v>
      </c>
      <c r="J199" s="33"/>
      <c r="K199" s="21"/>
      <c r="L199" s="34">
        <f t="shared" si="29"/>
        <v>0</v>
      </c>
      <c r="M199" s="34">
        <f t="shared" si="30"/>
        <v>2070</v>
      </c>
      <c r="N199" s="34">
        <f t="shared" si="27"/>
        <v>0</v>
      </c>
      <c r="O199" s="35">
        <f t="shared" si="31"/>
        <v>2070</v>
      </c>
    </row>
    <row r="200" spans="1:15" ht="30" customHeight="1" x14ac:dyDescent="0.25">
      <c r="A200" s="24">
        <v>197</v>
      </c>
      <c r="B200" s="25" t="s">
        <v>405</v>
      </c>
      <c r="C200" s="48" t="s">
        <v>406</v>
      </c>
      <c r="D200" s="59">
        <v>1</v>
      </c>
      <c r="E200" s="28">
        <f>$E$1*F200</f>
        <v>24</v>
      </c>
      <c r="F200" s="29">
        <v>1</v>
      </c>
      <c r="G200" s="40">
        <v>10055</v>
      </c>
      <c r="H200" s="31"/>
      <c r="I200" s="32"/>
      <c r="J200" s="33"/>
      <c r="K200" s="21"/>
      <c r="L200" s="34">
        <f t="shared" si="29"/>
        <v>0</v>
      </c>
      <c r="M200" s="34">
        <f t="shared" si="30"/>
        <v>5070</v>
      </c>
      <c r="N200" s="34">
        <f t="shared" si="27"/>
        <v>7000</v>
      </c>
      <c r="O200" s="35">
        <f t="shared" si="31"/>
        <v>12070</v>
      </c>
    </row>
    <row r="201" spans="1:15" ht="30" customHeight="1" x14ac:dyDescent="0.25">
      <c r="A201" s="24">
        <v>198</v>
      </c>
      <c r="B201" s="25" t="s">
        <v>407</v>
      </c>
      <c r="C201" s="48" t="s">
        <v>408</v>
      </c>
      <c r="D201" s="59">
        <v>0</v>
      </c>
      <c r="E201" s="28">
        <f>$E$1*F201</f>
        <v>24</v>
      </c>
      <c r="F201" s="29">
        <v>1</v>
      </c>
      <c r="G201" s="40"/>
      <c r="H201" s="31"/>
      <c r="I201" s="32">
        <v>0</v>
      </c>
      <c r="J201" s="33">
        <v>0</v>
      </c>
      <c r="K201" s="21"/>
      <c r="L201" s="34">
        <f t="shared" si="29"/>
        <v>10055</v>
      </c>
      <c r="M201" s="34">
        <f t="shared" si="30"/>
        <v>5070</v>
      </c>
      <c r="N201" s="34">
        <f t="shared" si="27"/>
        <v>7000</v>
      </c>
      <c r="O201" s="35">
        <f t="shared" si="31"/>
        <v>22125</v>
      </c>
    </row>
    <row r="202" spans="1:15" ht="30" customHeight="1" x14ac:dyDescent="0.25">
      <c r="A202" s="24">
        <v>199</v>
      </c>
      <c r="B202" s="25" t="s">
        <v>409</v>
      </c>
      <c r="C202" s="48" t="s">
        <v>410</v>
      </c>
      <c r="D202" s="59">
        <v>1</v>
      </c>
      <c r="E202" s="28">
        <f>$E$1*F202</f>
        <v>24</v>
      </c>
      <c r="F202" s="29">
        <v>1</v>
      </c>
      <c r="G202" s="40"/>
      <c r="H202" s="31"/>
      <c r="I202" s="32"/>
      <c r="J202" s="33"/>
      <c r="K202" s="21"/>
      <c r="L202" s="34">
        <f t="shared" si="29"/>
        <v>10055</v>
      </c>
      <c r="M202" s="34">
        <f t="shared" si="30"/>
        <v>5070</v>
      </c>
      <c r="N202" s="34">
        <f t="shared" ref="N202:N207" si="32">3000*F202-I202-J202</f>
        <v>3000</v>
      </c>
      <c r="O202" s="35">
        <f t="shared" si="31"/>
        <v>18125</v>
      </c>
    </row>
    <row r="203" spans="1:15" ht="30" customHeight="1" x14ac:dyDescent="0.25">
      <c r="A203" s="24">
        <v>200</v>
      </c>
      <c r="B203" s="25" t="s">
        <v>411</v>
      </c>
      <c r="C203" s="48" t="s">
        <v>412</v>
      </c>
      <c r="D203" s="59">
        <v>1</v>
      </c>
      <c r="E203" s="28">
        <f t="shared" ref="E203:E217" si="33">$E$1*F203</f>
        <v>24</v>
      </c>
      <c r="F203" s="29">
        <v>1</v>
      </c>
      <c r="G203" s="40">
        <v>10055</v>
      </c>
      <c r="H203" s="31">
        <f>3000+2070</f>
        <v>5070</v>
      </c>
      <c r="I203" s="32">
        <v>0</v>
      </c>
      <c r="J203" s="33"/>
      <c r="K203" s="21"/>
      <c r="L203" s="34">
        <f t="shared" si="29"/>
        <v>0</v>
      </c>
      <c r="M203" s="34">
        <f t="shared" si="30"/>
        <v>0</v>
      </c>
      <c r="N203" s="34">
        <f t="shared" si="32"/>
        <v>3000</v>
      </c>
      <c r="O203" s="35">
        <f t="shared" si="31"/>
        <v>3000</v>
      </c>
    </row>
    <row r="204" spans="1:15" ht="30" customHeight="1" x14ac:dyDescent="0.25">
      <c r="A204" s="24">
        <v>201</v>
      </c>
      <c r="B204" s="25" t="s">
        <v>413</v>
      </c>
      <c r="C204" s="48" t="s">
        <v>414</v>
      </c>
      <c r="D204" s="59">
        <v>1</v>
      </c>
      <c r="E204" s="28">
        <f t="shared" si="33"/>
        <v>24</v>
      </c>
      <c r="F204" s="29">
        <v>1</v>
      </c>
      <c r="G204" s="40"/>
      <c r="H204" s="31"/>
      <c r="I204" s="32"/>
      <c r="J204" s="33"/>
      <c r="K204" s="37">
        <v>40165</v>
      </c>
      <c r="L204" s="34">
        <f t="shared" si="29"/>
        <v>10055</v>
      </c>
      <c r="M204" s="34">
        <f t="shared" si="30"/>
        <v>5070</v>
      </c>
      <c r="N204" s="34">
        <f t="shared" si="32"/>
        <v>3000</v>
      </c>
      <c r="O204" s="35">
        <f t="shared" si="31"/>
        <v>58290</v>
      </c>
    </row>
    <row r="205" spans="1:15" ht="30" customHeight="1" x14ac:dyDescent="0.25">
      <c r="A205" s="24">
        <v>202</v>
      </c>
      <c r="B205" s="25" t="s">
        <v>415</v>
      </c>
      <c r="C205" s="48" t="s">
        <v>416</v>
      </c>
      <c r="D205" s="59">
        <v>1</v>
      </c>
      <c r="E205" s="28">
        <f t="shared" si="33"/>
        <v>24</v>
      </c>
      <c r="F205" s="29">
        <v>1</v>
      </c>
      <c r="G205" s="40"/>
      <c r="H205" s="31"/>
      <c r="I205" s="32"/>
      <c r="J205" s="33"/>
      <c r="K205" s="37">
        <v>5230</v>
      </c>
      <c r="L205" s="34">
        <f t="shared" si="29"/>
        <v>10055</v>
      </c>
      <c r="M205" s="34">
        <f t="shared" si="30"/>
        <v>5070</v>
      </c>
      <c r="N205" s="34">
        <f t="shared" si="32"/>
        <v>3000</v>
      </c>
      <c r="O205" s="35">
        <f t="shared" si="31"/>
        <v>23355</v>
      </c>
    </row>
    <row r="206" spans="1:15" ht="30" customHeight="1" x14ac:dyDescent="0.25">
      <c r="A206" s="24">
        <v>203</v>
      </c>
      <c r="B206" s="25" t="s">
        <v>417</v>
      </c>
      <c r="C206" s="48" t="s">
        <v>418</v>
      </c>
      <c r="D206" s="59">
        <v>1</v>
      </c>
      <c r="E206" s="28">
        <f t="shared" si="33"/>
        <v>24</v>
      </c>
      <c r="F206" s="29">
        <v>1</v>
      </c>
      <c r="G206" s="40"/>
      <c r="H206" s="31"/>
      <c r="I206" s="32"/>
      <c r="J206" s="33"/>
      <c r="K206" s="37">
        <f>23541-14950-5000</f>
        <v>3591</v>
      </c>
      <c r="L206" s="34">
        <f t="shared" si="29"/>
        <v>10055</v>
      </c>
      <c r="M206" s="34">
        <f t="shared" si="30"/>
        <v>5070</v>
      </c>
      <c r="N206" s="34">
        <f t="shared" si="32"/>
        <v>3000</v>
      </c>
      <c r="O206" s="35">
        <f t="shared" si="31"/>
        <v>21716</v>
      </c>
    </row>
    <row r="207" spans="1:15" ht="30" customHeight="1" x14ac:dyDescent="0.25">
      <c r="A207" s="24">
        <v>204</v>
      </c>
      <c r="B207" s="25" t="s">
        <v>419</v>
      </c>
      <c r="C207" s="48" t="s">
        <v>420</v>
      </c>
      <c r="D207" s="59">
        <v>1</v>
      </c>
      <c r="E207" s="28">
        <f t="shared" si="33"/>
        <v>21.6</v>
      </c>
      <c r="F207" s="29">
        <v>0.9</v>
      </c>
      <c r="G207" s="40">
        <f>8000+1835</f>
        <v>9835</v>
      </c>
      <c r="H207" s="31">
        <v>4850</v>
      </c>
      <c r="I207" s="32">
        <v>0</v>
      </c>
      <c r="J207" s="33">
        <v>0</v>
      </c>
      <c r="K207" s="21"/>
      <c r="L207" s="34">
        <f t="shared" si="29"/>
        <v>0</v>
      </c>
      <c r="M207" s="34">
        <f t="shared" si="30"/>
        <v>0</v>
      </c>
      <c r="N207" s="34">
        <f t="shared" si="32"/>
        <v>2700</v>
      </c>
      <c r="O207" s="35">
        <f t="shared" si="31"/>
        <v>2700</v>
      </c>
    </row>
    <row r="208" spans="1:15" ht="30" customHeight="1" x14ac:dyDescent="0.25">
      <c r="A208" s="24">
        <v>205</v>
      </c>
      <c r="B208" s="25" t="s">
        <v>421</v>
      </c>
      <c r="C208" s="48" t="s">
        <v>422</v>
      </c>
      <c r="D208" s="59">
        <v>1</v>
      </c>
      <c r="E208" s="28">
        <f t="shared" si="33"/>
        <v>24</v>
      </c>
      <c r="F208" s="29">
        <v>1</v>
      </c>
      <c r="G208" s="40">
        <f>1000+4000</f>
        <v>5000</v>
      </c>
      <c r="H208" s="31"/>
      <c r="I208" s="32"/>
      <c r="J208" s="33"/>
      <c r="K208" s="21"/>
      <c r="L208" s="34">
        <f t="shared" si="29"/>
        <v>5055</v>
      </c>
      <c r="M208" s="34">
        <f t="shared" si="30"/>
        <v>5070</v>
      </c>
      <c r="N208" s="34">
        <f>7000*F208-I208-J208</f>
        <v>7000</v>
      </c>
      <c r="O208" s="35">
        <f t="shared" si="31"/>
        <v>17125</v>
      </c>
    </row>
    <row r="209" spans="1:15" ht="30" customHeight="1" x14ac:dyDescent="0.25">
      <c r="A209" s="24">
        <v>206</v>
      </c>
      <c r="B209" s="25" t="s">
        <v>423</v>
      </c>
      <c r="C209" s="48" t="s">
        <v>424</v>
      </c>
      <c r="D209" s="59">
        <v>1</v>
      </c>
      <c r="E209" s="28">
        <f t="shared" si="33"/>
        <v>24</v>
      </c>
      <c r="F209" s="29">
        <v>1</v>
      </c>
      <c r="G209" s="40">
        <v>10055</v>
      </c>
      <c r="H209" s="31">
        <f>2200+3000-130</f>
        <v>5070</v>
      </c>
      <c r="I209" s="32">
        <v>130</v>
      </c>
      <c r="J209" s="33">
        <v>0</v>
      </c>
      <c r="K209" s="21"/>
      <c r="L209" s="34">
        <f t="shared" si="29"/>
        <v>0</v>
      </c>
      <c r="M209" s="34">
        <f t="shared" si="30"/>
        <v>0</v>
      </c>
      <c r="N209" s="34">
        <f>3000*F209-I209-J209</f>
        <v>2870</v>
      </c>
      <c r="O209" s="35">
        <f t="shared" si="31"/>
        <v>2870</v>
      </c>
    </row>
    <row r="210" spans="1:15" ht="30" customHeight="1" x14ac:dyDescent="0.25">
      <c r="A210" s="24">
        <v>207</v>
      </c>
      <c r="B210" s="25" t="s">
        <v>425</v>
      </c>
      <c r="C210" s="48" t="s">
        <v>426</v>
      </c>
      <c r="D210" s="59">
        <v>1</v>
      </c>
      <c r="E210" s="28">
        <f t="shared" si="33"/>
        <v>24</v>
      </c>
      <c r="F210" s="29">
        <v>1</v>
      </c>
      <c r="G210" s="40"/>
      <c r="H210" s="31"/>
      <c r="I210" s="32"/>
      <c r="J210" s="33"/>
      <c r="K210" s="37">
        <v>14079</v>
      </c>
      <c r="L210" s="34">
        <f t="shared" si="29"/>
        <v>10055</v>
      </c>
      <c r="M210" s="34">
        <f t="shared" si="30"/>
        <v>5070</v>
      </c>
      <c r="N210" s="34">
        <f t="shared" ref="N210:N224" si="34">7000*F210-I210-J210</f>
        <v>7000</v>
      </c>
      <c r="O210" s="35">
        <f t="shared" si="31"/>
        <v>36204</v>
      </c>
    </row>
    <row r="211" spans="1:15" ht="30" customHeight="1" x14ac:dyDescent="0.25">
      <c r="A211" s="24">
        <v>208</v>
      </c>
      <c r="B211" s="25" t="s">
        <v>427</v>
      </c>
      <c r="C211" s="48" t="s">
        <v>428</v>
      </c>
      <c r="D211" s="59">
        <v>1</v>
      </c>
      <c r="E211" s="28">
        <f t="shared" si="33"/>
        <v>24</v>
      </c>
      <c r="F211" s="29">
        <v>1</v>
      </c>
      <c r="G211" s="40"/>
      <c r="H211" s="31"/>
      <c r="I211" s="32"/>
      <c r="J211" s="33"/>
      <c r="K211" s="37">
        <v>17644</v>
      </c>
      <c r="L211" s="34">
        <f t="shared" si="29"/>
        <v>10055</v>
      </c>
      <c r="M211" s="34">
        <f t="shared" si="30"/>
        <v>5070</v>
      </c>
      <c r="N211" s="34">
        <f t="shared" si="34"/>
        <v>7000</v>
      </c>
      <c r="O211" s="35">
        <f t="shared" si="31"/>
        <v>39769</v>
      </c>
    </row>
    <row r="212" spans="1:15" ht="30" customHeight="1" x14ac:dyDescent="0.25">
      <c r="A212" s="24">
        <v>209</v>
      </c>
      <c r="B212" s="25" t="s">
        <v>429</v>
      </c>
      <c r="C212" s="48" t="s">
        <v>430</v>
      </c>
      <c r="D212" s="59">
        <v>1</v>
      </c>
      <c r="E212" s="28">
        <f t="shared" si="33"/>
        <v>24</v>
      </c>
      <c r="F212" s="29">
        <v>1</v>
      </c>
      <c r="G212" s="40">
        <v>6700</v>
      </c>
      <c r="H212" s="31"/>
      <c r="I212" s="32"/>
      <c r="J212" s="33"/>
      <c r="K212" s="21"/>
      <c r="L212" s="34">
        <f t="shared" si="29"/>
        <v>3355</v>
      </c>
      <c r="M212" s="34">
        <f t="shared" si="30"/>
        <v>5070</v>
      </c>
      <c r="N212" s="34">
        <f t="shared" si="34"/>
        <v>7000</v>
      </c>
      <c r="O212" s="35">
        <f t="shared" si="31"/>
        <v>15425</v>
      </c>
    </row>
    <row r="213" spans="1:15" ht="30" customHeight="1" x14ac:dyDescent="0.25">
      <c r="A213" s="24">
        <v>210</v>
      </c>
      <c r="B213" s="25" t="s">
        <v>431</v>
      </c>
      <c r="C213" s="48" t="s">
        <v>432</v>
      </c>
      <c r="D213" s="59">
        <v>1</v>
      </c>
      <c r="E213" s="28">
        <f t="shared" si="33"/>
        <v>24</v>
      </c>
      <c r="F213" s="29">
        <v>1</v>
      </c>
      <c r="G213" s="40">
        <v>10055</v>
      </c>
      <c r="H213" s="31">
        <v>4500</v>
      </c>
      <c r="I213" s="32">
        <f>3000+4000</f>
        <v>7000</v>
      </c>
      <c r="J213" s="33"/>
      <c r="K213" s="21"/>
      <c r="L213" s="34">
        <f t="shared" si="29"/>
        <v>0</v>
      </c>
      <c r="M213" s="34">
        <f t="shared" si="30"/>
        <v>570</v>
      </c>
      <c r="N213" s="34">
        <f t="shared" si="34"/>
        <v>0</v>
      </c>
      <c r="O213" s="35">
        <f t="shared" si="31"/>
        <v>570</v>
      </c>
    </row>
    <row r="214" spans="1:15" ht="30" customHeight="1" x14ac:dyDescent="0.25">
      <c r="A214" s="24">
        <v>211</v>
      </c>
      <c r="B214" s="25" t="s">
        <v>433</v>
      </c>
      <c r="C214" s="48" t="s">
        <v>434</v>
      </c>
      <c r="D214" s="59">
        <v>1</v>
      </c>
      <c r="E214" s="28">
        <f t="shared" si="33"/>
        <v>24</v>
      </c>
      <c r="F214" s="29">
        <v>1</v>
      </c>
      <c r="G214" s="40"/>
      <c r="H214" s="31"/>
      <c r="I214" s="32"/>
      <c r="J214" s="33"/>
      <c r="K214" s="37">
        <v>76406</v>
      </c>
      <c r="L214" s="34">
        <f t="shared" si="29"/>
        <v>10055</v>
      </c>
      <c r="M214" s="34">
        <f t="shared" si="30"/>
        <v>5070</v>
      </c>
      <c r="N214" s="34">
        <f t="shared" si="34"/>
        <v>7000</v>
      </c>
      <c r="O214" s="35">
        <f t="shared" si="31"/>
        <v>98531</v>
      </c>
    </row>
    <row r="215" spans="1:15" ht="30" customHeight="1" x14ac:dyDescent="0.25">
      <c r="A215" s="24">
        <v>212</v>
      </c>
      <c r="B215" s="25" t="s">
        <v>435</v>
      </c>
      <c r="C215" s="48" t="s">
        <v>436</v>
      </c>
      <c r="D215" s="59">
        <v>1</v>
      </c>
      <c r="E215" s="28">
        <f t="shared" si="33"/>
        <v>24</v>
      </c>
      <c r="F215" s="29">
        <v>1</v>
      </c>
      <c r="G215" s="40"/>
      <c r="H215" s="31"/>
      <c r="I215" s="32"/>
      <c r="J215" s="33"/>
      <c r="K215" s="21"/>
      <c r="L215" s="34">
        <f t="shared" si="29"/>
        <v>10055</v>
      </c>
      <c r="M215" s="34">
        <f t="shared" si="30"/>
        <v>5070</v>
      </c>
      <c r="N215" s="34">
        <f t="shared" si="34"/>
        <v>7000</v>
      </c>
      <c r="O215" s="35">
        <f t="shared" si="31"/>
        <v>22125</v>
      </c>
    </row>
    <row r="216" spans="1:15" ht="30" customHeight="1" x14ac:dyDescent="0.25">
      <c r="A216" s="24">
        <v>213</v>
      </c>
      <c r="B216" s="25" t="s">
        <v>437</v>
      </c>
      <c r="C216" s="48" t="s">
        <v>438</v>
      </c>
      <c r="D216" s="59">
        <v>1</v>
      </c>
      <c r="E216" s="28">
        <f t="shared" si="33"/>
        <v>24</v>
      </c>
      <c r="F216" s="29">
        <v>1</v>
      </c>
      <c r="G216" s="40">
        <v>10055</v>
      </c>
      <c r="H216" s="31">
        <v>4000</v>
      </c>
      <c r="I216" s="32">
        <v>4750</v>
      </c>
      <c r="J216" s="33"/>
      <c r="K216" s="21"/>
      <c r="L216" s="34">
        <f t="shared" si="29"/>
        <v>0</v>
      </c>
      <c r="M216" s="34">
        <f t="shared" si="30"/>
        <v>1070</v>
      </c>
      <c r="N216" s="34">
        <f t="shared" si="34"/>
        <v>2250</v>
      </c>
      <c r="O216" s="35">
        <f t="shared" si="31"/>
        <v>3320</v>
      </c>
    </row>
    <row r="217" spans="1:15" ht="30" customHeight="1" x14ac:dyDescent="0.25">
      <c r="A217" s="24">
        <v>214</v>
      </c>
      <c r="B217" s="25" t="s">
        <v>439</v>
      </c>
      <c r="C217" s="48" t="s">
        <v>440</v>
      </c>
      <c r="D217" s="59">
        <v>1</v>
      </c>
      <c r="E217" s="28">
        <f t="shared" si="33"/>
        <v>30</v>
      </c>
      <c r="F217" s="29">
        <v>1.25</v>
      </c>
      <c r="G217" s="40"/>
      <c r="H217" s="31"/>
      <c r="I217" s="32"/>
      <c r="J217" s="33"/>
      <c r="K217" s="37">
        <v>97358</v>
      </c>
      <c r="L217" s="34">
        <f t="shared" si="29"/>
        <v>10605</v>
      </c>
      <c r="M217" s="34">
        <f t="shared" si="30"/>
        <v>5620</v>
      </c>
      <c r="N217" s="34">
        <f t="shared" si="34"/>
        <v>8750</v>
      </c>
      <c r="O217" s="35">
        <f t="shared" si="31"/>
        <v>122333</v>
      </c>
    </row>
    <row r="218" spans="1:15" ht="30" customHeight="1" x14ac:dyDescent="0.25">
      <c r="A218" s="24">
        <v>215</v>
      </c>
      <c r="B218" s="25" t="s">
        <v>441</v>
      </c>
      <c r="C218" s="48" t="s">
        <v>442</v>
      </c>
      <c r="D218" s="59">
        <v>1</v>
      </c>
      <c r="E218" s="28">
        <f>5.5*9</f>
        <v>49.5</v>
      </c>
      <c r="F218" s="29">
        <f>E218/24</f>
        <v>2.0625</v>
      </c>
      <c r="G218" s="40">
        <f>259+7000+5128</f>
        <v>12387</v>
      </c>
      <c r="H218" s="31">
        <v>2452</v>
      </c>
      <c r="I218" s="32">
        <f>4872+7000+2548</f>
        <v>14420</v>
      </c>
      <c r="J218" s="33"/>
      <c r="K218" s="21"/>
      <c r="L218" s="34">
        <f t="shared" si="29"/>
        <v>5.5</v>
      </c>
      <c r="M218" s="34">
        <f t="shared" si="30"/>
        <v>4955.5</v>
      </c>
      <c r="N218" s="34">
        <f t="shared" si="34"/>
        <v>17.5</v>
      </c>
      <c r="O218" s="35">
        <f t="shared" si="31"/>
        <v>4978.5</v>
      </c>
    </row>
    <row r="219" spans="1:15" ht="30" customHeight="1" x14ac:dyDescent="0.25">
      <c r="A219" s="24">
        <v>216</v>
      </c>
      <c r="B219" s="25" t="s">
        <v>443</v>
      </c>
      <c r="C219" s="48" t="s">
        <v>444</v>
      </c>
      <c r="D219" s="59">
        <v>1</v>
      </c>
      <c r="E219" s="28">
        <f t="shared" ref="E219:E235" si="35">$E$1*F219</f>
        <v>24</v>
      </c>
      <c r="F219" s="29">
        <v>1</v>
      </c>
      <c r="G219" s="40">
        <v>10055</v>
      </c>
      <c r="H219" s="31"/>
      <c r="I219" s="32"/>
      <c r="J219" s="33"/>
      <c r="K219" s="21"/>
      <c r="L219" s="34">
        <f t="shared" si="29"/>
        <v>0</v>
      </c>
      <c r="M219" s="34">
        <f t="shared" si="30"/>
        <v>5070</v>
      </c>
      <c r="N219" s="34">
        <f t="shared" si="34"/>
        <v>7000</v>
      </c>
      <c r="O219" s="35">
        <f t="shared" si="31"/>
        <v>12070</v>
      </c>
    </row>
    <row r="220" spans="1:15" ht="30" customHeight="1" x14ac:dyDescent="0.25">
      <c r="A220" s="24">
        <v>217</v>
      </c>
      <c r="B220" s="25" t="s">
        <v>445</v>
      </c>
      <c r="C220" s="48" t="s">
        <v>446</v>
      </c>
      <c r="D220" s="59">
        <v>1</v>
      </c>
      <c r="E220" s="28">
        <f t="shared" si="35"/>
        <v>24</v>
      </c>
      <c r="F220" s="29">
        <v>1</v>
      </c>
      <c r="G220" s="40"/>
      <c r="H220" s="31"/>
      <c r="I220" s="32"/>
      <c r="J220" s="33"/>
      <c r="K220" s="37">
        <v>39409</v>
      </c>
      <c r="L220" s="34">
        <f t="shared" si="29"/>
        <v>10055</v>
      </c>
      <c r="M220" s="34">
        <f t="shared" si="30"/>
        <v>5070</v>
      </c>
      <c r="N220" s="34">
        <f t="shared" si="34"/>
        <v>7000</v>
      </c>
      <c r="O220" s="35">
        <f t="shared" si="31"/>
        <v>61534</v>
      </c>
    </row>
    <row r="221" spans="1:15" ht="30" customHeight="1" x14ac:dyDescent="0.25">
      <c r="A221" s="24">
        <v>218</v>
      </c>
      <c r="B221" s="25" t="s">
        <v>447</v>
      </c>
      <c r="C221" s="48" t="s">
        <v>448</v>
      </c>
      <c r="D221" s="59">
        <v>1</v>
      </c>
      <c r="E221" s="28">
        <f t="shared" si="35"/>
        <v>24</v>
      </c>
      <c r="F221" s="29">
        <v>1</v>
      </c>
      <c r="G221" s="40">
        <v>1000</v>
      </c>
      <c r="H221" s="31"/>
      <c r="I221" s="32"/>
      <c r="J221" s="33"/>
      <c r="K221" s="21"/>
      <c r="L221" s="34">
        <f t="shared" si="29"/>
        <v>9055</v>
      </c>
      <c r="M221" s="34">
        <f t="shared" si="30"/>
        <v>5070</v>
      </c>
      <c r="N221" s="34">
        <f t="shared" si="34"/>
        <v>7000</v>
      </c>
      <c r="O221" s="35">
        <f t="shared" si="31"/>
        <v>21125</v>
      </c>
    </row>
    <row r="222" spans="1:15" ht="30" customHeight="1" x14ac:dyDescent="0.25">
      <c r="A222" s="24">
        <v>219</v>
      </c>
      <c r="B222" s="25" t="s">
        <v>449</v>
      </c>
      <c r="C222" s="48" t="s">
        <v>450</v>
      </c>
      <c r="D222" s="59">
        <v>1</v>
      </c>
      <c r="E222" s="28">
        <f t="shared" si="35"/>
        <v>24</v>
      </c>
      <c r="F222" s="29">
        <v>1</v>
      </c>
      <c r="G222" s="40">
        <f>460+3900+5695</f>
        <v>10055</v>
      </c>
      <c r="H222" s="31"/>
      <c r="I222" s="32"/>
      <c r="J222" s="33"/>
      <c r="K222" s="21"/>
      <c r="L222" s="34">
        <f t="shared" si="29"/>
        <v>0</v>
      </c>
      <c r="M222" s="34">
        <f t="shared" si="30"/>
        <v>5070</v>
      </c>
      <c r="N222" s="34">
        <f t="shared" si="34"/>
        <v>7000</v>
      </c>
      <c r="O222" s="35">
        <f t="shared" si="31"/>
        <v>12070</v>
      </c>
    </row>
    <row r="223" spans="1:15" ht="30" customHeight="1" x14ac:dyDescent="0.25">
      <c r="A223" s="24">
        <v>220</v>
      </c>
      <c r="B223" s="25" t="s">
        <v>451</v>
      </c>
      <c r="C223" s="48" t="s">
        <v>452</v>
      </c>
      <c r="D223" s="59">
        <v>1</v>
      </c>
      <c r="E223" s="28">
        <f t="shared" si="35"/>
        <v>24</v>
      </c>
      <c r="F223" s="29">
        <v>1</v>
      </c>
      <c r="G223" s="40"/>
      <c r="H223" s="31"/>
      <c r="I223" s="32"/>
      <c r="J223" s="33"/>
      <c r="K223" s="37">
        <v>36120</v>
      </c>
      <c r="L223" s="34">
        <f t="shared" si="29"/>
        <v>10055</v>
      </c>
      <c r="M223" s="34">
        <f t="shared" si="30"/>
        <v>5070</v>
      </c>
      <c r="N223" s="34">
        <f t="shared" si="34"/>
        <v>7000</v>
      </c>
      <c r="O223" s="35">
        <f t="shared" si="31"/>
        <v>58245</v>
      </c>
    </row>
    <row r="224" spans="1:15" ht="30" customHeight="1" x14ac:dyDescent="0.25">
      <c r="A224" s="24">
        <v>221</v>
      </c>
      <c r="B224" s="25" t="s">
        <v>453</v>
      </c>
      <c r="C224" s="48" t="s">
        <v>454</v>
      </c>
      <c r="D224" s="59">
        <v>1</v>
      </c>
      <c r="E224" s="28">
        <f t="shared" si="35"/>
        <v>24</v>
      </c>
      <c r="F224" s="29">
        <v>1</v>
      </c>
      <c r="G224" s="40"/>
      <c r="H224" s="31"/>
      <c r="I224" s="32"/>
      <c r="J224" s="33"/>
      <c r="K224" s="37">
        <v>9871</v>
      </c>
      <c r="L224" s="34">
        <f t="shared" si="29"/>
        <v>10055</v>
      </c>
      <c r="M224" s="34">
        <f t="shared" si="30"/>
        <v>5070</v>
      </c>
      <c r="N224" s="34">
        <f t="shared" si="34"/>
        <v>7000</v>
      </c>
      <c r="O224" s="35">
        <f t="shared" si="31"/>
        <v>31996</v>
      </c>
    </row>
    <row r="225" spans="1:15" ht="30" customHeight="1" x14ac:dyDescent="0.25">
      <c r="A225" s="24">
        <v>222</v>
      </c>
      <c r="B225" s="25" t="s">
        <v>455</v>
      </c>
      <c r="C225" s="48" t="s">
        <v>456</v>
      </c>
      <c r="D225" s="59">
        <v>1</v>
      </c>
      <c r="E225" s="28">
        <f t="shared" si="35"/>
        <v>60</v>
      </c>
      <c r="F225" s="29">
        <v>2.5</v>
      </c>
      <c r="G225" s="40">
        <v>13355</v>
      </c>
      <c r="H225" s="31"/>
      <c r="I225" s="32">
        <v>0</v>
      </c>
      <c r="J225" s="33">
        <v>0</v>
      </c>
      <c r="K225" s="21"/>
      <c r="L225" s="34">
        <f t="shared" si="29"/>
        <v>0</v>
      </c>
      <c r="M225" s="34">
        <f t="shared" si="30"/>
        <v>8370</v>
      </c>
      <c r="N225" s="34">
        <v>0</v>
      </c>
      <c r="O225" s="35">
        <f t="shared" si="31"/>
        <v>8370</v>
      </c>
    </row>
    <row r="226" spans="1:15" ht="30" customHeight="1" x14ac:dyDescent="0.25">
      <c r="A226" s="24">
        <v>223</v>
      </c>
      <c r="B226" s="25" t="s">
        <v>457</v>
      </c>
      <c r="C226" s="48" t="s">
        <v>458</v>
      </c>
      <c r="D226" s="59">
        <v>1</v>
      </c>
      <c r="E226" s="28">
        <f t="shared" si="35"/>
        <v>60</v>
      </c>
      <c r="F226" s="29">
        <v>2.5</v>
      </c>
      <c r="G226" s="40">
        <v>13355</v>
      </c>
      <c r="H226" s="31"/>
      <c r="I226" s="32">
        <v>0</v>
      </c>
      <c r="J226" s="33">
        <v>0</v>
      </c>
      <c r="K226" s="21"/>
      <c r="L226" s="34">
        <f t="shared" si="29"/>
        <v>0</v>
      </c>
      <c r="M226" s="34">
        <f t="shared" si="30"/>
        <v>8370</v>
      </c>
      <c r="N226" s="34">
        <v>0</v>
      </c>
      <c r="O226" s="35">
        <f t="shared" si="31"/>
        <v>8370</v>
      </c>
    </row>
    <row r="227" spans="1:15" ht="30" customHeight="1" x14ac:dyDescent="0.25">
      <c r="A227" s="24">
        <v>224</v>
      </c>
      <c r="B227" s="25" t="s">
        <v>459</v>
      </c>
      <c r="C227" s="48" t="s">
        <v>460</v>
      </c>
      <c r="D227" s="59">
        <v>1</v>
      </c>
      <c r="E227" s="28">
        <f t="shared" si="35"/>
        <v>24</v>
      </c>
      <c r="F227" s="29">
        <v>1</v>
      </c>
      <c r="G227" s="40">
        <f>114+4000+4000+1941</f>
        <v>10055</v>
      </c>
      <c r="H227" s="73">
        <f>2059</f>
        <v>2059</v>
      </c>
      <c r="I227" s="74">
        <f>2059+3000+1941</f>
        <v>7000</v>
      </c>
      <c r="J227" s="33"/>
      <c r="K227" s="21"/>
      <c r="L227" s="34">
        <f t="shared" si="29"/>
        <v>0</v>
      </c>
      <c r="M227" s="34">
        <f t="shared" si="30"/>
        <v>3011</v>
      </c>
      <c r="N227" s="34">
        <f t="shared" ref="N227:N247" si="36">7000*F227-I227-J227</f>
        <v>0</v>
      </c>
      <c r="O227" s="35">
        <f t="shared" si="31"/>
        <v>3011</v>
      </c>
    </row>
    <row r="228" spans="1:15" ht="30" customHeight="1" x14ac:dyDescent="0.25">
      <c r="A228" s="24">
        <v>225</v>
      </c>
      <c r="B228" s="25" t="s">
        <v>461</v>
      </c>
      <c r="C228" s="48" t="s">
        <v>462</v>
      </c>
      <c r="D228" s="59">
        <v>1</v>
      </c>
      <c r="E228" s="28">
        <f t="shared" si="35"/>
        <v>24</v>
      </c>
      <c r="F228" s="29">
        <v>1</v>
      </c>
      <c r="G228" s="40"/>
      <c r="H228" s="31"/>
      <c r="I228" s="32"/>
      <c r="J228" s="33"/>
      <c r="K228" s="37">
        <v>71344</v>
      </c>
      <c r="L228" s="34">
        <f t="shared" si="29"/>
        <v>10055</v>
      </c>
      <c r="M228" s="34">
        <f t="shared" si="30"/>
        <v>5070</v>
      </c>
      <c r="N228" s="34">
        <f t="shared" si="36"/>
        <v>7000</v>
      </c>
      <c r="O228" s="35">
        <f t="shared" si="31"/>
        <v>93469</v>
      </c>
    </row>
    <row r="229" spans="1:15" ht="30" customHeight="1" x14ac:dyDescent="0.25">
      <c r="A229" s="24">
        <v>226</v>
      </c>
      <c r="B229" s="25" t="s">
        <v>463</v>
      </c>
      <c r="C229" s="48" t="s">
        <v>464</v>
      </c>
      <c r="D229" s="59">
        <v>1</v>
      </c>
      <c r="E229" s="28">
        <f t="shared" si="35"/>
        <v>24</v>
      </c>
      <c r="F229" s="29">
        <v>1</v>
      </c>
      <c r="G229" s="40"/>
      <c r="H229" s="31"/>
      <c r="I229" s="32"/>
      <c r="J229" s="33"/>
      <c r="K229" s="37">
        <v>78735</v>
      </c>
      <c r="L229" s="34">
        <f t="shared" si="29"/>
        <v>10055</v>
      </c>
      <c r="M229" s="34">
        <f t="shared" si="30"/>
        <v>5070</v>
      </c>
      <c r="N229" s="34">
        <f t="shared" si="36"/>
        <v>7000</v>
      </c>
      <c r="O229" s="35">
        <f t="shared" si="31"/>
        <v>100860</v>
      </c>
    </row>
    <row r="230" spans="1:15" ht="30" customHeight="1" x14ac:dyDescent="0.25">
      <c r="A230" s="24">
        <v>227</v>
      </c>
      <c r="B230" s="25" t="s">
        <v>465</v>
      </c>
      <c r="C230" s="48" t="s">
        <v>466</v>
      </c>
      <c r="D230" s="59">
        <v>1</v>
      </c>
      <c r="E230" s="28">
        <f t="shared" si="35"/>
        <v>24</v>
      </c>
      <c r="F230" s="29">
        <v>1</v>
      </c>
      <c r="G230" s="40"/>
      <c r="H230" s="31"/>
      <c r="I230" s="32"/>
      <c r="J230" s="33"/>
      <c r="K230" s="37">
        <v>73454</v>
      </c>
      <c r="L230" s="34">
        <f t="shared" si="29"/>
        <v>10055</v>
      </c>
      <c r="M230" s="34">
        <f t="shared" si="30"/>
        <v>5070</v>
      </c>
      <c r="N230" s="34">
        <f t="shared" si="36"/>
        <v>7000</v>
      </c>
      <c r="O230" s="35">
        <f t="shared" si="31"/>
        <v>95579</v>
      </c>
    </row>
    <row r="231" spans="1:15" ht="30" customHeight="1" x14ac:dyDescent="0.25">
      <c r="A231" s="24">
        <v>228</v>
      </c>
      <c r="B231" s="25" t="s">
        <v>467</v>
      </c>
      <c r="C231" s="48" t="s">
        <v>468</v>
      </c>
      <c r="D231" s="59">
        <v>1</v>
      </c>
      <c r="E231" s="28">
        <f t="shared" si="35"/>
        <v>24</v>
      </c>
      <c r="F231" s="29">
        <v>1</v>
      </c>
      <c r="G231" s="40">
        <f>8055+1000</f>
        <v>9055</v>
      </c>
      <c r="H231" s="31">
        <v>5070</v>
      </c>
      <c r="I231" s="32">
        <f>3000+4000</f>
        <v>7000</v>
      </c>
      <c r="J231" s="33"/>
      <c r="K231" s="21"/>
      <c r="L231" s="34">
        <f t="shared" si="29"/>
        <v>1000</v>
      </c>
      <c r="M231" s="34">
        <f t="shared" si="30"/>
        <v>0</v>
      </c>
      <c r="N231" s="34">
        <f t="shared" si="36"/>
        <v>0</v>
      </c>
      <c r="O231" s="35">
        <f t="shared" si="31"/>
        <v>1000</v>
      </c>
    </row>
    <row r="232" spans="1:15" ht="30" customHeight="1" x14ac:dyDescent="0.25">
      <c r="A232" s="24">
        <v>229</v>
      </c>
      <c r="B232" s="25" t="s">
        <v>469</v>
      </c>
      <c r="C232" s="48" t="s">
        <v>470</v>
      </c>
      <c r="D232" s="59">
        <v>1</v>
      </c>
      <c r="E232" s="28">
        <f t="shared" si="35"/>
        <v>24</v>
      </c>
      <c r="F232" s="29">
        <v>1</v>
      </c>
      <c r="G232" s="40"/>
      <c r="H232" s="31"/>
      <c r="I232" s="32"/>
      <c r="J232" s="33"/>
      <c r="K232" s="37">
        <f>24979-3000-2500-5000</f>
        <v>14479</v>
      </c>
      <c r="L232" s="34">
        <f t="shared" si="29"/>
        <v>10055</v>
      </c>
      <c r="M232" s="34">
        <f t="shared" si="30"/>
        <v>5070</v>
      </c>
      <c r="N232" s="34">
        <f t="shared" si="36"/>
        <v>7000</v>
      </c>
      <c r="O232" s="35">
        <f t="shared" si="31"/>
        <v>36604</v>
      </c>
    </row>
    <row r="233" spans="1:15" ht="30" customHeight="1" x14ac:dyDescent="0.25">
      <c r="A233" s="24">
        <v>230</v>
      </c>
      <c r="B233" s="25" t="s">
        <v>471</v>
      </c>
      <c r="C233" s="48" t="s">
        <v>472</v>
      </c>
      <c r="D233" s="59">
        <v>1</v>
      </c>
      <c r="E233" s="28">
        <f t="shared" si="35"/>
        <v>24</v>
      </c>
      <c r="F233" s="29">
        <v>1</v>
      </c>
      <c r="G233" s="40">
        <v>4800</v>
      </c>
      <c r="H233" s="31"/>
      <c r="I233" s="32"/>
      <c r="J233" s="33"/>
      <c r="K233" s="21"/>
      <c r="L233" s="34">
        <f t="shared" si="29"/>
        <v>5255</v>
      </c>
      <c r="M233" s="34">
        <f t="shared" si="30"/>
        <v>5070</v>
      </c>
      <c r="N233" s="34">
        <f t="shared" si="36"/>
        <v>7000</v>
      </c>
      <c r="O233" s="35">
        <f t="shared" si="31"/>
        <v>17325</v>
      </c>
    </row>
    <row r="234" spans="1:15" ht="30" customHeight="1" x14ac:dyDescent="0.25">
      <c r="A234" s="24">
        <v>231</v>
      </c>
      <c r="B234" s="25" t="s">
        <v>473</v>
      </c>
      <c r="C234" s="48" t="s">
        <v>474</v>
      </c>
      <c r="D234" s="59">
        <v>1</v>
      </c>
      <c r="E234" s="28">
        <f t="shared" si="35"/>
        <v>24</v>
      </c>
      <c r="F234" s="29">
        <v>1</v>
      </c>
      <c r="G234" s="40">
        <v>10055</v>
      </c>
      <c r="H234" s="31"/>
      <c r="I234" s="32">
        <v>7000</v>
      </c>
      <c r="J234" s="33"/>
      <c r="K234" s="21"/>
      <c r="L234" s="34">
        <f t="shared" si="29"/>
        <v>0</v>
      </c>
      <c r="M234" s="34">
        <f t="shared" si="30"/>
        <v>5070</v>
      </c>
      <c r="N234" s="34">
        <f t="shared" si="36"/>
        <v>0</v>
      </c>
      <c r="O234" s="35">
        <f t="shared" ref="O234:O247" si="37">SUM(K234:N234)</f>
        <v>5070</v>
      </c>
    </row>
    <row r="235" spans="1:15" ht="30" customHeight="1" x14ac:dyDescent="0.25">
      <c r="A235" s="24">
        <v>232</v>
      </c>
      <c r="B235" s="25" t="s">
        <v>475</v>
      </c>
      <c r="C235" s="48" t="s">
        <v>378</v>
      </c>
      <c r="D235" s="59">
        <v>1</v>
      </c>
      <c r="E235" s="28">
        <f t="shared" si="35"/>
        <v>24</v>
      </c>
      <c r="F235" s="29">
        <v>1</v>
      </c>
      <c r="G235" s="40"/>
      <c r="H235" s="31"/>
      <c r="I235" s="32"/>
      <c r="J235" s="33"/>
      <c r="K235" s="21"/>
      <c r="L235" s="34">
        <f t="shared" si="29"/>
        <v>10055</v>
      </c>
      <c r="M235" s="34">
        <f t="shared" si="30"/>
        <v>5070</v>
      </c>
      <c r="N235" s="34">
        <f t="shared" si="36"/>
        <v>7000</v>
      </c>
      <c r="O235" s="35">
        <f t="shared" si="37"/>
        <v>22125</v>
      </c>
    </row>
    <row r="236" spans="1:15" ht="30" customHeight="1" x14ac:dyDescent="0.25">
      <c r="A236" s="24">
        <v>233</v>
      </c>
      <c r="B236" s="25" t="s">
        <v>476</v>
      </c>
      <c r="C236" s="48" t="s">
        <v>477</v>
      </c>
      <c r="D236" s="59">
        <v>1</v>
      </c>
      <c r="E236" s="28">
        <v>24</v>
      </c>
      <c r="F236" s="29">
        <v>1</v>
      </c>
      <c r="G236" s="40">
        <v>10055</v>
      </c>
      <c r="H236" s="31">
        <v>1000</v>
      </c>
      <c r="I236" s="32">
        <v>7000</v>
      </c>
      <c r="J236" s="33"/>
      <c r="K236" s="21"/>
      <c r="L236" s="34">
        <f t="shared" si="29"/>
        <v>0</v>
      </c>
      <c r="M236" s="34">
        <f t="shared" si="30"/>
        <v>4070</v>
      </c>
      <c r="N236" s="34">
        <f t="shared" si="36"/>
        <v>0</v>
      </c>
      <c r="O236" s="35">
        <f t="shared" si="37"/>
        <v>4070</v>
      </c>
    </row>
    <row r="237" spans="1:15" ht="30" customHeight="1" x14ac:dyDescent="0.25">
      <c r="A237" s="24">
        <v>234</v>
      </c>
      <c r="B237" s="25" t="s">
        <v>478</v>
      </c>
      <c r="C237" s="48" t="s">
        <v>479</v>
      </c>
      <c r="D237" s="59">
        <v>1</v>
      </c>
      <c r="E237" s="28">
        <f>$E$1*F237</f>
        <v>24</v>
      </c>
      <c r="F237" s="29">
        <v>1</v>
      </c>
      <c r="G237" s="40">
        <v>10055</v>
      </c>
      <c r="H237" s="31"/>
      <c r="I237" s="32"/>
      <c r="J237" s="33"/>
      <c r="K237" s="21"/>
      <c r="L237" s="34">
        <f t="shared" si="29"/>
        <v>0</v>
      </c>
      <c r="M237" s="34">
        <f t="shared" si="30"/>
        <v>5070</v>
      </c>
      <c r="N237" s="34">
        <f t="shared" si="36"/>
        <v>7000</v>
      </c>
      <c r="O237" s="35">
        <f t="shared" si="37"/>
        <v>12070</v>
      </c>
    </row>
    <row r="238" spans="1:15" ht="30" customHeight="1" x14ac:dyDescent="0.25">
      <c r="A238" s="24">
        <v>235</v>
      </c>
      <c r="B238" s="25" t="s">
        <v>480</v>
      </c>
      <c r="C238" s="48" t="s">
        <v>481</v>
      </c>
      <c r="D238" s="59">
        <v>1</v>
      </c>
      <c r="E238" s="28">
        <f>$E$1*F238</f>
        <v>24</v>
      </c>
      <c r="F238" s="29">
        <v>1</v>
      </c>
      <c r="G238" s="40"/>
      <c r="H238" s="31"/>
      <c r="I238" s="32"/>
      <c r="J238" s="33"/>
      <c r="K238" s="37">
        <v>9539</v>
      </c>
      <c r="L238" s="34">
        <f t="shared" si="29"/>
        <v>10055</v>
      </c>
      <c r="M238" s="34">
        <f t="shared" si="30"/>
        <v>5070</v>
      </c>
      <c r="N238" s="34">
        <f t="shared" si="36"/>
        <v>7000</v>
      </c>
      <c r="O238" s="35">
        <f t="shared" si="37"/>
        <v>31664</v>
      </c>
    </row>
    <row r="239" spans="1:15" ht="30" customHeight="1" x14ac:dyDescent="0.25">
      <c r="A239" s="24">
        <v>236</v>
      </c>
      <c r="B239" s="25" t="s">
        <v>482</v>
      </c>
      <c r="C239" s="48" t="s">
        <v>483</v>
      </c>
      <c r="D239" s="59">
        <v>1</v>
      </c>
      <c r="E239" s="28">
        <v>24</v>
      </c>
      <c r="F239" s="29">
        <v>1</v>
      </c>
      <c r="G239" s="40"/>
      <c r="H239" s="31"/>
      <c r="I239" s="32"/>
      <c r="J239" s="33"/>
      <c r="K239" s="37">
        <v>12542</v>
      </c>
      <c r="L239" s="34">
        <f t="shared" si="29"/>
        <v>10055</v>
      </c>
      <c r="M239" s="34">
        <f t="shared" si="30"/>
        <v>5070</v>
      </c>
      <c r="N239" s="34">
        <f t="shared" si="36"/>
        <v>7000</v>
      </c>
      <c r="O239" s="35">
        <f t="shared" si="37"/>
        <v>34667</v>
      </c>
    </row>
    <row r="240" spans="1:15" ht="30" customHeight="1" x14ac:dyDescent="0.25">
      <c r="A240" s="24">
        <v>237</v>
      </c>
      <c r="B240" s="25" t="s">
        <v>484</v>
      </c>
      <c r="C240" s="48" t="s">
        <v>485</v>
      </c>
      <c r="D240" s="59">
        <v>1</v>
      </c>
      <c r="E240" s="28">
        <f t="shared" ref="E240:E245" si="38">$E$1*F240</f>
        <v>24</v>
      </c>
      <c r="F240" s="29">
        <v>1</v>
      </c>
      <c r="G240" s="40"/>
      <c r="H240" s="31"/>
      <c r="I240" s="32"/>
      <c r="J240" s="33"/>
      <c r="K240" s="37">
        <v>17644</v>
      </c>
      <c r="L240" s="34">
        <f t="shared" si="29"/>
        <v>10055</v>
      </c>
      <c r="M240" s="34">
        <f t="shared" si="30"/>
        <v>5070</v>
      </c>
      <c r="N240" s="34">
        <f t="shared" si="36"/>
        <v>7000</v>
      </c>
      <c r="O240" s="35">
        <f t="shared" si="37"/>
        <v>39769</v>
      </c>
    </row>
    <row r="241" spans="1:15" ht="30" customHeight="1" x14ac:dyDescent="0.25">
      <c r="A241" s="24">
        <v>238</v>
      </c>
      <c r="B241" s="25" t="s">
        <v>486</v>
      </c>
      <c r="C241" s="26" t="s">
        <v>487</v>
      </c>
      <c r="D241" s="59">
        <v>1</v>
      </c>
      <c r="E241" s="28">
        <f t="shared" si="38"/>
        <v>24</v>
      </c>
      <c r="F241" s="29">
        <v>1</v>
      </c>
      <c r="G241" s="40"/>
      <c r="H241" s="31"/>
      <c r="I241" s="32"/>
      <c r="J241" s="33"/>
      <c r="K241" s="37">
        <v>2589</v>
      </c>
      <c r="L241" s="34">
        <f t="shared" si="29"/>
        <v>10055</v>
      </c>
      <c r="M241" s="34">
        <f t="shared" si="30"/>
        <v>5070</v>
      </c>
      <c r="N241" s="34">
        <f t="shared" si="36"/>
        <v>7000</v>
      </c>
      <c r="O241" s="35">
        <f t="shared" si="37"/>
        <v>24714</v>
      </c>
    </row>
    <row r="242" spans="1:15" ht="30" customHeight="1" x14ac:dyDescent="0.25">
      <c r="A242" s="24">
        <v>239</v>
      </c>
      <c r="B242" s="25" t="s">
        <v>488</v>
      </c>
      <c r="C242" s="26" t="s">
        <v>489</v>
      </c>
      <c r="D242" s="59">
        <v>1</v>
      </c>
      <c r="E242" s="28">
        <f t="shared" si="38"/>
        <v>24</v>
      </c>
      <c r="F242" s="29">
        <v>1</v>
      </c>
      <c r="G242" s="40">
        <v>10055</v>
      </c>
      <c r="H242" s="31"/>
      <c r="I242" s="32"/>
      <c r="J242" s="33"/>
      <c r="K242" s="21"/>
      <c r="L242" s="34">
        <f t="shared" si="29"/>
        <v>0</v>
      </c>
      <c r="M242" s="34">
        <f t="shared" si="30"/>
        <v>5070</v>
      </c>
      <c r="N242" s="34">
        <f t="shared" si="36"/>
        <v>7000</v>
      </c>
      <c r="O242" s="35">
        <f t="shared" si="37"/>
        <v>12070</v>
      </c>
    </row>
    <row r="243" spans="1:15" ht="30" customHeight="1" x14ac:dyDescent="0.25">
      <c r="A243" s="24">
        <v>240</v>
      </c>
      <c r="B243" s="25" t="s">
        <v>490</v>
      </c>
      <c r="C243" s="26" t="s">
        <v>491</v>
      </c>
      <c r="D243" s="59">
        <v>1</v>
      </c>
      <c r="E243" s="28">
        <f t="shared" si="38"/>
        <v>24</v>
      </c>
      <c r="F243" s="29">
        <v>1</v>
      </c>
      <c r="G243" s="40">
        <v>10055</v>
      </c>
      <c r="H243" s="31">
        <v>2000</v>
      </c>
      <c r="I243" s="32">
        <v>7000</v>
      </c>
      <c r="J243" s="33"/>
      <c r="K243" s="21"/>
      <c r="L243" s="34">
        <f t="shared" si="29"/>
        <v>0</v>
      </c>
      <c r="M243" s="34">
        <f t="shared" si="30"/>
        <v>3070</v>
      </c>
      <c r="N243" s="34">
        <f t="shared" si="36"/>
        <v>0</v>
      </c>
      <c r="O243" s="35">
        <f t="shared" si="37"/>
        <v>3070</v>
      </c>
    </row>
    <row r="244" spans="1:15" ht="30" customHeight="1" x14ac:dyDescent="0.25">
      <c r="A244" s="24">
        <v>241</v>
      </c>
      <c r="B244" s="25" t="s">
        <v>492</v>
      </c>
      <c r="C244" s="26" t="s">
        <v>493</v>
      </c>
      <c r="D244" s="59">
        <v>1</v>
      </c>
      <c r="E244" s="28">
        <f t="shared" si="38"/>
        <v>24</v>
      </c>
      <c r="F244" s="29">
        <v>1</v>
      </c>
      <c r="G244" s="40">
        <v>10055</v>
      </c>
      <c r="H244" s="31"/>
      <c r="I244" s="32">
        <f>3000</f>
        <v>3000</v>
      </c>
      <c r="J244" s="33"/>
      <c r="K244" s="21"/>
      <c r="L244" s="34">
        <f t="shared" si="29"/>
        <v>0</v>
      </c>
      <c r="M244" s="34">
        <f t="shared" si="30"/>
        <v>5070</v>
      </c>
      <c r="N244" s="34">
        <f t="shared" si="36"/>
        <v>4000</v>
      </c>
      <c r="O244" s="35">
        <f t="shared" si="37"/>
        <v>9070</v>
      </c>
    </row>
    <row r="245" spans="1:15" ht="30" customHeight="1" x14ac:dyDescent="0.25">
      <c r="A245" s="24">
        <v>242</v>
      </c>
      <c r="B245" s="25" t="s">
        <v>494</v>
      </c>
      <c r="C245" s="26" t="s">
        <v>495</v>
      </c>
      <c r="D245" s="59">
        <v>1</v>
      </c>
      <c r="E245" s="28">
        <f t="shared" si="38"/>
        <v>22.799999999999997</v>
      </c>
      <c r="F245" s="29">
        <v>0.95</v>
      </c>
      <c r="G245" s="40">
        <v>9945</v>
      </c>
      <c r="H245" s="31">
        <v>4000</v>
      </c>
      <c r="I245" s="32">
        <f>5000+1000+650</f>
        <v>6650</v>
      </c>
      <c r="J245" s="33"/>
      <c r="K245" s="21"/>
      <c r="L245" s="34">
        <f t="shared" si="29"/>
        <v>0</v>
      </c>
      <c r="M245" s="34">
        <f t="shared" si="30"/>
        <v>960</v>
      </c>
      <c r="N245" s="34">
        <f t="shared" si="36"/>
        <v>0</v>
      </c>
      <c r="O245" s="35">
        <f t="shared" si="37"/>
        <v>960</v>
      </c>
    </row>
    <row r="246" spans="1:15" ht="30" customHeight="1" x14ac:dyDescent="0.25">
      <c r="A246" s="24">
        <v>243</v>
      </c>
      <c r="B246" s="25" t="s">
        <v>496</v>
      </c>
      <c r="C246" s="48" t="s">
        <v>497</v>
      </c>
      <c r="D246" s="59">
        <v>1</v>
      </c>
      <c r="E246" s="28">
        <f>6*12</f>
        <v>72</v>
      </c>
      <c r="F246" s="29">
        <v>3</v>
      </c>
      <c r="G246" s="40">
        <v>14455</v>
      </c>
      <c r="H246" s="31"/>
      <c r="I246" s="32">
        <v>21000</v>
      </c>
      <c r="J246" s="33"/>
      <c r="K246" s="21"/>
      <c r="L246" s="34">
        <f t="shared" si="29"/>
        <v>0</v>
      </c>
      <c r="M246" s="34">
        <f t="shared" si="30"/>
        <v>9470</v>
      </c>
      <c r="N246" s="34">
        <f t="shared" si="36"/>
        <v>0</v>
      </c>
      <c r="O246" s="35">
        <f t="shared" si="37"/>
        <v>9470</v>
      </c>
    </row>
    <row r="247" spans="1:15" ht="30" customHeight="1" thickBot="1" x14ac:dyDescent="0.3">
      <c r="A247" s="24">
        <v>244</v>
      </c>
      <c r="B247" s="25" t="s">
        <v>498</v>
      </c>
      <c r="C247" s="75" t="s">
        <v>499</v>
      </c>
      <c r="D247" s="59">
        <v>1</v>
      </c>
      <c r="E247" s="28">
        <f>$E$1*F247</f>
        <v>54</v>
      </c>
      <c r="F247" s="29">
        <v>2.25</v>
      </c>
      <c r="G247" s="40"/>
      <c r="H247" s="31"/>
      <c r="I247" s="32"/>
      <c r="J247" s="33"/>
      <c r="K247" s="37">
        <v>21800</v>
      </c>
      <c r="L247" s="34">
        <f>(2200*F247)+7855-G247</f>
        <v>12805</v>
      </c>
      <c r="M247" s="34">
        <f>(2200*F247)+2870-H247</f>
        <v>7820</v>
      </c>
      <c r="N247" s="34">
        <f t="shared" si="36"/>
        <v>15750</v>
      </c>
      <c r="O247" s="35">
        <f t="shared" si="37"/>
        <v>58175</v>
      </c>
    </row>
    <row r="248" spans="1:15" s="89" customFormat="1" ht="30" customHeight="1" thickBot="1" x14ac:dyDescent="0.3">
      <c r="A248" s="76"/>
      <c r="B248" s="77"/>
      <c r="C248" s="78"/>
      <c r="D248" s="79"/>
      <c r="E248" s="80"/>
      <c r="F248" s="80"/>
      <c r="G248" s="81"/>
      <c r="H248" s="82"/>
      <c r="I248" s="83"/>
      <c r="J248" s="84"/>
      <c r="K248" s="85">
        <f>SUM(K4:K247)</f>
        <v>2485770</v>
      </c>
      <c r="L248" s="86">
        <f>SUM(L4:L247)</f>
        <v>1283488</v>
      </c>
      <c r="M248" s="86">
        <f>SUM(M4:M247)</f>
        <v>1096499</v>
      </c>
      <c r="N248" s="87">
        <f>SUM(N4:N247)</f>
        <v>1212050</v>
      </c>
      <c r="O248" s="88">
        <f>SUM(O4:O247)</f>
        <v>6077807</v>
      </c>
    </row>
    <row r="249" spans="1:15" ht="15.75" customHeight="1" x14ac:dyDescent="0.25">
      <c r="G249" s="100" t="s">
        <v>500</v>
      </c>
      <c r="H249" s="100"/>
      <c r="I249" s="100"/>
      <c r="J249" s="100"/>
      <c r="K249" s="94" t="s">
        <v>12</v>
      </c>
      <c r="L249" s="94" t="s">
        <v>501</v>
      </c>
      <c r="M249" s="94" t="s">
        <v>502</v>
      </c>
      <c r="N249" s="94" t="s">
        <v>15</v>
      </c>
      <c r="O249" s="95" t="s">
        <v>503</v>
      </c>
    </row>
    <row r="251" spans="1:15" x14ac:dyDescent="0.25">
      <c r="C251" s="101" t="s">
        <v>504</v>
      </c>
      <c r="K251" s="102">
        <v>2485770</v>
      </c>
      <c r="L251" s="102">
        <v>1300642</v>
      </c>
      <c r="M251" s="102">
        <v>1147873</v>
      </c>
      <c r="N251" s="102">
        <v>1269329</v>
      </c>
      <c r="O251" s="102">
        <v>6203614</v>
      </c>
    </row>
    <row r="252" spans="1:15" x14ac:dyDescent="0.25">
      <c r="K252" s="102"/>
      <c r="L252" s="102"/>
      <c r="M252" s="102"/>
      <c r="N252" s="102"/>
      <c r="O252" s="102"/>
    </row>
    <row r="253" spans="1:15" x14ac:dyDescent="0.25">
      <c r="C253" s="101" t="s">
        <v>505</v>
      </c>
      <c r="K253" s="102">
        <f>K248-K251</f>
        <v>0</v>
      </c>
      <c r="L253" s="102">
        <f t="shared" ref="L253:O253" si="39">L248-L251</f>
        <v>-17154</v>
      </c>
      <c r="M253" s="102">
        <f t="shared" si="39"/>
        <v>-51374</v>
      </c>
      <c r="N253" s="102">
        <f t="shared" si="39"/>
        <v>-57279</v>
      </c>
      <c r="O253" s="102">
        <f t="shared" si="39"/>
        <v>-125807</v>
      </c>
    </row>
  </sheetData>
  <mergeCells count="2">
    <mergeCell ref="E2:F2"/>
    <mergeCell ref="G249:J2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31.05.20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2020-06-01T17:17:08Z</dcterms:modified>
</cp:coreProperties>
</file>